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omments3.xml" ContentType="application/vnd.openxmlformats-officedocument.spreadsheetml.comments+xml"/>
  <Override PartName="/xl/charts/chart1.xml" ContentType="application/vnd.openxmlformats-officedocument.drawingml.chart+xml"/>
  <Override PartName="/xl/drawings/drawing5.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drawings/drawing6.xml" ContentType="application/vnd.openxmlformats-officedocument.drawing+xml"/>
  <Override PartName="/xl/charts/chart2.xml" ContentType="application/vnd.openxmlformats-officedocument.drawingml.chart+xml"/>
  <Override PartName="/xl/drawings/drawing7.xml" ContentType="application/vnd.openxmlformats-officedocument.drawing+xml"/>
  <Override PartName="/xl/comments4.xml" ContentType="application/vnd.openxmlformats-officedocument.spreadsheetml.comments+xml"/>
  <Override PartName="/xl/drawings/drawing8.xml" ContentType="application/vnd.openxmlformats-officedocument.drawing+xml"/>
  <Override PartName="/xl/comments5.xml" ContentType="application/vnd.openxmlformats-officedocument.spreadsheetml.comments+xml"/>
  <Override PartName="/xl/charts/chart3.xml" ContentType="application/vnd.openxmlformats-officedocument.drawingml.chart+xml"/>
  <Override PartName="/xl/charts/chart4.xml" ContentType="application/vnd.openxmlformats-officedocument.drawingml.chart+xml"/>
  <Override PartName="/xl/drawings/drawing9.xml" ContentType="application/vnd.openxmlformats-officedocument.drawing+xml"/>
  <Override PartName="/xl/comments6.xml" ContentType="application/vnd.openxmlformats-officedocument.spreadsheetml.comments+xml"/>
  <Override PartName="/xl/drawings/drawing10.xml" ContentType="application/vnd.openxmlformats-officedocument.drawing+xml"/>
  <Override PartName="/xl/comments7.xml" ContentType="application/vnd.openxmlformats-officedocument.spreadsheetml.comments+xml"/>
  <Override PartName="/xl/charts/chart5.xml" ContentType="application/vnd.openxmlformats-officedocument.drawingml.chart+xml"/>
  <Override PartName="/xl/charts/chart6.xml" ContentType="application/vnd.openxmlformats-officedocument.drawingml.chart+xml"/>
  <Override PartName="/xl/drawings/drawing11.xml" ContentType="application/vnd.openxmlformats-officedocument.drawing+xml"/>
  <Override PartName="/xl/charts/chart7.xml" ContentType="application/vnd.openxmlformats-officedocument.drawingml.chart+xml"/>
  <Override PartName="/xl/drawings/drawing12.xml" ContentType="application/vnd.openxmlformats-officedocument.drawingml.chartshapes+xml"/>
  <Override PartName="/xl/charts/chart8.xml" ContentType="application/vnd.openxmlformats-officedocument.drawingml.chart+xml"/>
  <Override PartName="/xl/charts/chart9.xml" ContentType="application/vnd.openxmlformats-officedocument.drawingml.chart+xml"/>
  <Override PartName="/xl/comments8.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Leslie Hidde\Downloads\"/>
    </mc:Choice>
  </mc:AlternateContent>
  <xr:revisionPtr revIDLastSave="0" documentId="13_ncr:1_{56D98967-81D4-4891-8C28-D08E789F9DF7}" xr6:coauthVersionLast="47" xr6:coauthVersionMax="47" xr10:uidLastSave="{00000000-0000-0000-0000-000000000000}"/>
  <bookViews>
    <workbookView xWindow="-53868" yWindow="-108" windowWidth="30936" windowHeight="16776" tabRatio="666" activeTab="4" xr2:uid="{290CD17C-F6C8-439E-9CBB-B1CA8AA23709}"/>
  </bookViews>
  <sheets>
    <sheet name="Directions" sheetId="8" r:id="rId1"/>
    <sheet name="Directions - Modification" sheetId="14" r:id="rId2"/>
    <sheet name="Printing Directions" sheetId="13" r:id="rId3"/>
    <sheet name="1 Certification" sheetId="9" r:id="rId4"/>
    <sheet name="1A Modification" sheetId="15" r:id="rId5"/>
    <sheet name="2 Aggregate System" sheetId="1" r:id="rId6"/>
    <sheet name="3 Paste Quality" sheetId="2" r:id="rId7"/>
    <sheet name="4 Mix Design" sheetId="3" r:id="rId8"/>
    <sheet name="5 Unit Wt_Voids in Agg" sheetId="10" r:id="rId9"/>
    <sheet name="Optimize Tool" sheetId="12" r:id="rId10"/>
    <sheet name="Data_Charts" sheetId="6" r:id="rId11"/>
    <sheet name="6 Agg Analysis" sheetId="4" state="hidden" r:id="rId12"/>
    <sheet name="7 Calculation Check" sheetId="11" state="hidden" r:id="rId13"/>
  </sheets>
  <externalReferences>
    <externalReference r:id="rId14"/>
  </externalReferences>
  <definedNames>
    <definedName name="_xlnm.Print_Area" localSheetId="3">'1 Certification'!$A$1:$J$138</definedName>
    <definedName name="_xlnm.Print_Area" localSheetId="4">'1A Modification'!$B$1:$I$192</definedName>
    <definedName name="_xlnm.Print_Area" localSheetId="5">'2 Aggregate System'!$A$1:$L$41</definedName>
    <definedName name="_xlnm.Print_Area" localSheetId="6">'3 Paste Quality'!$A$1:$I$53</definedName>
    <definedName name="_xlnm.Print_Area" localSheetId="7">'4 Mix Design'!$A$1:$Q$58</definedName>
    <definedName name="_xlnm.Print_Area" localSheetId="10">Data_Charts!$A$1:$L$64</definedName>
    <definedName name="_xlnm.Print_Area" localSheetId="0">Directions!$A$1:$P$141</definedName>
    <definedName name="_xlnm.Print_Area" localSheetId="9">'Optimize Tool'!$A$1:$O$58</definedName>
    <definedName name="_xlnm.Print_Area" localSheetId="2">'Printing Directions'!$A$1:$P$56</definedName>
    <definedName name="_xlnm.Print_Titles" localSheetId="4">'1A Modification'!$1:$7</definedName>
    <definedName name="solver_adj" localSheetId="5" hidden="1">'2 Aggregate System'!#REF!,'2 Aggregate System'!#REF!,'2 Aggregate System'!$G$24,'2 Aggregate System'!#REF!,'2 Aggregate System'!#REF!</definedName>
    <definedName name="solver_adj" localSheetId="7" hidden="1">'4 Mix Design'!$D$14,'4 Mix Design'!$D$15,'4 Mix Design'!$D$17</definedName>
    <definedName name="solver_adj" localSheetId="9" hidden="1">'Optimize Tool'!$D$7,'Optimize Tool'!$D$8,'Optimize Tool'!$D$10,'Optimize Tool'!$D$12</definedName>
    <definedName name="solver_cvg" localSheetId="5" hidden="1">0.0001</definedName>
    <definedName name="solver_cvg" localSheetId="7" hidden="1">0.0001</definedName>
    <definedName name="solver_cvg" localSheetId="9" hidden="1">0.0001</definedName>
    <definedName name="solver_drv" localSheetId="5" hidden="1">1</definedName>
    <definedName name="solver_drv" localSheetId="7" hidden="1">2</definedName>
    <definedName name="solver_drv" localSheetId="9" hidden="1">2</definedName>
    <definedName name="solver_eng" localSheetId="5" hidden="1">1</definedName>
    <definedName name="solver_eng" localSheetId="6" hidden="1">1</definedName>
    <definedName name="solver_eng" localSheetId="7" hidden="1">1</definedName>
    <definedName name="solver_eng" localSheetId="0" hidden="1">1</definedName>
    <definedName name="solver_eng" localSheetId="9" hidden="1">1</definedName>
    <definedName name="solver_eng" localSheetId="2" hidden="1">1</definedName>
    <definedName name="solver_est" localSheetId="5" hidden="1">1</definedName>
    <definedName name="solver_est" localSheetId="7" hidden="1">1</definedName>
    <definedName name="solver_est" localSheetId="9" hidden="1">1</definedName>
    <definedName name="solver_itr" localSheetId="5" hidden="1">2147483647</definedName>
    <definedName name="solver_itr" localSheetId="7" hidden="1">2147483647</definedName>
    <definedName name="solver_itr" localSheetId="9" hidden="1">2147483647</definedName>
    <definedName name="solver_lhs1" localSheetId="5" hidden="1">'2 Aggregate System'!$A$23</definedName>
    <definedName name="solver_lhs1" localSheetId="7" hidden="1">'4 Mix Design'!$C$29</definedName>
    <definedName name="solver_lhs1" localSheetId="9" hidden="1">'Optimize Tool'!$D$12</definedName>
    <definedName name="solver_lhs2" localSheetId="5" hidden="1">'4 Mix Design'!$L$54</definedName>
    <definedName name="solver_lhs2" localSheetId="7" hidden="1">'4 Mix Design'!$C$38</definedName>
    <definedName name="solver_lhs2" localSheetId="9" hidden="1">'Optimize Tool'!$H$38</definedName>
    <definedName name="solver_lhs3" localSheetId="5" hidden="1">'4 Mix Design'!$L$54</definedName>
    <definedName name="solver_lhs3" localSheetId="9" hidden="1">'Optimize Tool'!$H$38</definedName>
    <definedName name="solver_lhs4" localSheetId="5" hidden="1">'4 Mix Design'!$L$56</definedName>
    <definedName name="solver_lhs4" localSheetId="9" hidden="1">'Optimize Tool'!$D$13</definedName>
    <definedName name="solver_lhs5" localSheetId="5" hidden="1">'2 Aggregate System'!#REF!</definedName>
    <definedName name="solver_lhs5" localSheetId="9" hidden="1">'Optimize Tool'!$H$42</definedName>
    <definedName name="solver_lhs6" localSheetId="5" hidden="1">'2 Aggregate System'!$K$41</definedName>
    <definedName name="solver_lhs6" localSheetId="9" hidden="1">'Optimize Tool'!$P$12</definedName>
    <definedName name="solver_lhs7" localSheetId="9" hidden="1">'Optimize Tool'!$L$14</definedName>
    <definedName name="solver_mip" localSheetId="5" hidden="1">2147483647</definedName>
    <definedName name="solver_mip" localSheetId="7" hidden="1">2147483647</definedName>
    <definedName name="solver_mip" localSheetId="9" hidden="1">2147483647</definedName>
    <definedName name="solver_mni" localSheetId="5" hidden="1">30</definedName>
    <definedName name="solver_mni" localSheetId="7" hidden="1">30</definedName>
    <definedName name="solver_mni" localSheetId="9" hidden="1">30</definedName>
    <definedName name="solver_mrt" localSheetId="5" hidden="1">0.075</definedName>
    <definedName name="solver_mrt" localSheetId="7" hidden="1">0.075</definedName>
    <definedName name="solver_mrt" localSheetId="9" hidden="1">0.075</definedName>
    <definedName name="solver_msl" localSheetId="5" hidden="1">2</definedName>
    <definedName name="solver_msl" localSheetId="7" hidden="1">2</definedName>
    <definedName name="solver_msl" localSheetId="9" hidden="1">2</definedName>
    <definedName name="solver_neg" localSheetId="5" hidden="1">1</definedName>
    <definedName name="solver_neg" localSheetId="6" hidden="1">1</definedName>
    <definedName name="solver_neg" localSheetId="7" hidden="1">1</definedName>
    <definedName name="solver_neg" localSheetId="0" hidden="1">1</definedName>
    <definedName name="solver_neg" localSheetId="9" hidden="1">1</definedName>
    <definedName name="solver_neg" localSheetId="2" hidden="1">1</definedName>
    <definedName name="solver_nod" localSheetId="5" hidden="1">2147483647</definedName>
    <definedName name="solver_nod" localSheetId="7" hidden="1">2147483647</definedName>
    <definedName name="solver_nod" localSheetId="9" hidden="1">2147483647</definedName>
    <definedName name="solver_num" localSheetId="5" hidden="1">6</definedName>
    <definedName name="solver_num" localSheetId="6" hidden="1">0</definedName>
    <definedName name="solver_num" localSheetId="7" hidden="1">0</definedName>
    <definedName name="solver_num" localSheetId="0" hidden="1">0</definedName>
    <definedName name="solver_num" localSheetId="9" hidden="1">7</definedName>
    <definedName name="solver_num" localSheetId="2" hidden="1">0</definedName>
    <definedName name="solver_nwt" localSheetId="5" hidden="1">1</definedName>
    <definedName name="solver_nwt" localSheetId="7" hidden="1">1</definedName>
    <definedName name="solver_nwt" localSheetId="9" hidden="1">1</definedName>
    <definedName name="solver_opt" localSheetId="5" hidden="1">'2 Aggregate System'!$L$43</definedName>
    <definedName name="solver_opt" localSheetId="6" hidden="1">'3 Paste Quality'!$B$76</definedName>
    <definedName name="solver_opt" localSheetId="7" hidden="1">'4 Mix Design'!$G$26</definedName>
    <definedName name="solver_opt" localSheetId="0" hidden="1">Directions!$C$94</definedName>
    <definedName name="solver_opt" localSheetId="9" hidden="1">'Optimize Tool'!$P$10</definedName>
    <definedName name="solver_opt" localSheetId="2" hidden="1">'Printing Directions'!$C$78</definedName>
    <definedName name="solver_pre" localSheetId="5" hidden="1">0.001</definedName>
    <definedName name="solver_pre" localSheetId="7" hidden="1">0.001</definedName>
    <definedName name="solver_pre" localSheetId="9" hidden="1">0.001</definedName>
    <definedName name="solver_rbv" localSheetId="5" hidden="1">1</definedName>
    <definedName name="solver_rbv" localSheetId="7" hidden="1">2</definedName>
    <definedName name="solver_rbv" localSheetId="9" hidden="1">2</definedName>
    <definedName name="solver_rel1" localSheetId="5" hidden="1">2</definedName>
    <definedName name="solver_rel1" localSheetId="7" hidden="1">3</definedName>
    <definedName name="solver_rel1" localSheetId="9" hidden="1">3</definedName>
    <definedName name="solver_rel2" localSheetId="5" hidden="1">1</definedName>
    <definedName name="solver_rel2" localSheetId="7" hidden="1">3</definedName>
    <definedName name="solver_rel2" localSheetId="9" hidden="1">1</definedName>
    <definedName name="solver_rel3" localSheetId="5" hidden="1">3</definedName>
    <definedName name="solver_rel3" localSheetId="9" hidden="1">3</definedName>
    <definedName name="solver_rel4" localSheetId="5" hidden="1">3</definedName>
    <definedName name="solver_rel4" localSheetId="9" hidden="1">2</definedName>
    <definedName name="solver_rel5" localSheetId="5" hidden="1">2</definedName>
    <definedName name="solver_rel5" localSheetId="9" hidden="1">1</definedName>
    <definedName name="solver_rel6" localSheetId="5" hidden="1">2</definedName>
    <definedName name="solver_rel6" localSheetId="9" hidden="1">2</definedName>
    <definedName name="solver_rel7" localSheetId="9" hidden="1">2</definedName>
    <definedName name="solver_rhs1" localSheetId="5" hidden="1">100</definedName>
    <definedName name="solver_rhs1" localSheetId="7" hidden="1">500</definedName>
    <definedName name="solver_rhs1" localSheetId="9" hidden="1">2700</definedName>
    <definedName name="solver_rhs2" localSheetId="5" hidden="1">34</definedName>
    <definedName name="solver_rhs2" localSheetId="7" hidden="1">125</definedName>
    <definedName name="solver_rhs2" localSheetId="9" hidden="1">'Optimize Tool'!$P$18</definedName>
    <definedName name="solver_rhs3" localSheetId="5" hidden="1">24</definedName>
    <definedName name="solver_rhs3" localSheetId="9" hidden="1">'Optimize Tool'!$P$16</definedName>
    <definedName name="solver_rhs4" localSheetId="5" hidden="1">15</definedName>
    <definedName name="solver_rhs4" localSheetId="9" hidden="1">100</definedName>
    <definedName name="solver_rhs5" localSheetId="5" hidden="1">0</definedName>
    <definedName name="solver_rhs5" localSheetId="9" hidden="1">'Optimize Tool'!$P$20</definedName>
    <definedName name="solver_rhs6" localSheetId="5" hidden="1">0</definedName>
    <definedName name="solver_rhs6" localSheetId="9" hidden="1">0</definedName>
    <definedName name="solver_rhs7" localSheetId="9" hidden="1">'Optimize Tool'!$P$14</definedName>
    <definedName name="solver_rlx" localSheetId="5" hidden="1">2</definedName>
    <definedName name="solver_rlx" localSheetId="7" hidden="1">2</definedName>
    <definedName name="solver_rlx" localSheetId="9" hidden="1">2</definedName>
    <definedName name="solver_rsd" localSheetId="5" hidden="1">0</definedName>
    <definedName name="solver_rsd" localSheetId="7" hidden="1">0</definedName>
    <definedName name="solver_rsd" localSheetId="9" hidden="1">0</definedName>
    <definedName name="solver_scl" localSheetId="5" hidden="1">1</definedName>
    <definedName name="solver_scl" localSheetId="7" hidden="1">2</definedName>
    <definedName name="solver_scl" localSheetId="9" hidden="1">2</definedName>
    <definedName name="solver_sho" localSheetId="5" hidden="1">2</definedName>
    <definedName name="solver_sho" localSheetId="7" hidden="1">2</definedName>
    <definedName name="solver_sho" localSheetId="9" hidden="1">2</definedName>
    <definedName name="solver_ssz" localSheetId="5" hidden="1">100</definedName>
    <definedName name="solver_ssz" localSheetId="7" hidden="1">100</definedName>
    <definedName name="solver_ssz" localSheetId="9" hidden="1">100</definedName>
    <definedName name="solver_tim" localSheetId="5" hidden="1">2147483647</definedName>
    <definedName name="solver_tim" localSheetId="7" hidden="1">2147483647</definedName>
    <definedName name="solver_tim" localSheetId="9" hidden="1">2147483647</definedName>
    <definedName name="solver_tol" localSheetId="5" hidden="1">0.01</definedName>
    <definedName name="solver_tol" localSheetId="7" hidden="1">0.01</definedName>
    <definedName name="solver_tol" localSheetId="9" hidden="1">0.01</definedName>
    <definedName name="solver_typ" localSheetId="5" hidden="1">2</definedName>
    <definedName name="solver_typ" localSheetId="6" hidden="1">1</definedName>
    <definedName name="solver_typ" localSheetId="7" hidden="1">3</definedName>
    <definedName name="solver_typ" localSheetId="0" hidden="1">1</definedName>
    <definedName name="solver_typ" localSheetId="9" hidden="1">2</definedName>
    <definedName name="solver_typ" localSheetId="2" hidden="1">1</definedName>
    <definedName name="solver_val" localSheetId="5" hidden="1">0</definedName>
    <definedName name="solver_val" localSheetId="6" hidden="1">0</definedName>
    <definedName name="solver_val" localSheetId="7" hidden="1">27.2</definedName>
    <definedName name="solver_val" localSheetId="0" hidden="1">0</definedName>
    <definedName name="solver_val" localSheetId="9" hidden="1">27.2</definedName>
    <definedName name="solver_val" localSheetId="2" hidden="1">0</definedName>
    <definedName name="solver_ver" localSheetId="5" hidden="1">3</definedName>
    <definedName name="solver_ver" localSheetId="6" hidden="1">3</definedName>
    <definedName name="solver_ver" localSheetId="7" hidden="1">3</definedName>
    <definedName name="solver_ver" localSheetId="0" hidden="1">3</definedName>
    <definedName name="solver_ver" localSheetId="9" hidden="1">3</definedName>
    <definedName name="solver_ver" localSheetId="2" hidden="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3" i="15" l="1"/>
  <c r="H176" i="15"/>
  <c r="H175" i="15"/>
  <c r="H174" i="15"/>
  <c r="H173" i="15"/>
  <c r="H172" i="15"/>
  <c r="H139" i="15"/>
  <c r="H138" i="15"/>
  <c r="H137" i="15"/>
  <c r="H136" i="15"/>
  <c r="H135" i="15"/>
  <c r="H102" i="15"/>
  <c r="H101" i="15"/>
  <c r="H100" i="15"/>
  <c r="H99" i="15"/>
  <c r="H98" i="15"/>
  <c r="H65" i="15"/>
  <c r="H64" i="15"/>
  <c r="H63" i="15"/>
  <c r="H62" i="15"/>
  <c r="H61" i="15"/>
  <c r="H28" i="15"/>
  <c r="H27" i="15"/>
  <c r="H26" i="15"/>
  <c r="H25" i="15"/>
  <c r="H24" i="15"/>
  <c r="D7" i="15"/>
  <c r="D6" i="15"/>
  <c r="D5" i="15"/>
  <c r="D4" i="15"/>
  <c r="B2" i="15"/>
  <c r="AE10" i="4"/>
  <c r="AF10" i="4"/>
  <c r="AE11" i="4"/>
  <c r="AF11" i="4"/>
  <c r="AE12" i="4"/>
  <c r="AF12" i="4"/>
  <c r="AE13" i="4"/>
  <c r="AF13" i="4"/>
  <c r="AE14" i="4"/>
  <c r="AF14" i="4"/>
  <c r="AE15" i="4"/>
  <c r="AF15" i="4"/>
  <c r="AE16" i="4"/>
  <c r="AF16" i="4"/>
  <c r="AE17" i="4"/>
  <c r="AF17" i="4"/>
  <c r="AE18" i="4"/>
  <c r="AF18" i="4"/>
  <c r="AE19" i="4"/>
  <c r="AF19" i="4"/>
  <c r="AE20" i="4"/>
  <c r="AF20" i="4"/>
  <c r="AE9" i="4"/>
  <c r="AF9" i="4"/>
  <c r="AD10" i="4" l="1"/>
  <c r="AD11" i="4"/>
  <c r="AD12" i="4"/>
  <c r="AD13" i="4"/>
  <c r="AD14" i="4"/>
  <c r="AD15" i="4"/>
  <c r="AD16" i="4"/>
  <c r="AD17" i="4"/>
  <c r="AD18" i="4"/>
  <c r="AD19" i="4"/>
  <c r="AD20" i="4"/>
  <c r="AD9" i="4"/>
  <c r="AD8" i="4"/>
  <c r="AC12" i="4" l="1"/>
  <c r="AC13" i="4"/>
  <c r="AC14" i="4"/>
  <c r="AC15" i="4"/>
  <c r="AC16" i="4"/>
  <c r="AC17" i="4"/>
  <c r="AC18" i="4"/>
  <c r="AC19" i="4"/>
  <c r="AC20" i="4"/>
  <c r="AC11" i="4"/>
  <c r="AC10" i="4"/>
  <c r="AC9" i="4"/>
  <c r="N9" i="13" l="1"/>
  <c r="T11" i="12"/>
  <c r="S11" i="12"/>
  <c r="G96" i="9"/>
  <c r="G97" i="9"/>
  <c r="G98" i="9"/>
  <c r="G99" i="9"/>
  <c r="G95" i="9"/>
  <c r="C27" i="2" l="1"/>
  <c r="C28" i="2"/>
  <c r="AI9" i="4"/>
  <c r="AI10" i="4"/>
  <c r="AI11" i="4"/>
  <c r="AE8" i="4"/>
  <c r="AF8" i="4"/>
  <c r="AC8" i="4"/>
  <c r="AB10" i="4"/>
  <c r="AB11" i="4"/>
  <c r="AB9" i="4"/>
  <c r="AB8" i="4"/>
  <c r="AV11" i="4" l="1"/>
  <c r="AV9" i="4"/>
  <c r="AV8" i="4"/>
  <c r="AV10" i="4"/>
  <c r="AI8" i="4"/>
  <c r="AW9" i="4"/>
  <c r="AW10" i="4"/>
  <c r="AW11" i="4"/>
  <c r="AW8" i="4"/>
  <c r="AH8" i="4"/>
  <c r="AH9" i="4"/>
  <c r="AH10" i="4"/>
  <c r="AH11" i="4"/>
  <c r="A2" i="13" l="1"/>
  <c r="A2" i="11"/>
  <c r="A2" i="4"/>
  <c r="A2" i="6"/>
  <c r="A2" i="12"/>
  <c r="A2" i="10"/>
  <c r="A2" i="3"/>
  <c r="A2" i="2"/>
  <c r="A2" i="1"/>
  <c r="B63" i="9"/>
  <c r="B2" i="9"/>
  <c r="A67" i="8"/>
  <c r="C31" i="2"/>
  <c r="E20" i="2" l="1"/>
  <c r="D20" i="11" l="1"/>
  <c r="I39" i="9"/>
  <c r="D19" i="11"/>
  <c r="E19" i="11" s="1"/>
  <c r="E22" i="9" s="1"/>
  <c r="D12" i="10" s="1"/>
  <c r="H115" i="9" l="1"/>
  <c r="I116" i="9"/>
  <c r="H113" i="9"/>
  <c r="H117" i="9"/>
  <c r="H114" i="9" s="1"/>
  <c r="H112" i="9"/>
  <c r="H44" i="2"/>
  <c r="P14" i="12"/>
  <c r="W23" i="11"/>
  <c r="V23" i="11"/>
  <c r="Y23" i="11" s="1"/>
  <c r="Z23" i="11" l="1"/>
  <c r="G88" i="9"/>
  <c r="H122" i="9" l="1"/>
  <c r="E24" i="11" l="1"/>
  <c r="B23" i="3"/>
  <c r="B22" i="3"/>
  <c r="B21" i="3"/>
  <c r="B20" i="3"/>
  <c r="B19" i="3"/>
  <c r="P49" i="11" l="1"/>
  <c r="Q49" i="11" s="1"/>
  <c r="J45" i="12" s="1"/>
  <c r="Q22" i="11"/>
  <c r="Q23" i="11"/>
  <c r="Q24" i="11"/>
  <c r="Q25" i="11"/>
  <c r="Q21" i="11"/>
  <c r="P32" i="11"/>
  <c r="D13" i="12"/>
  <c r="R21" i="11" l="1"/>
  <c r="E7" i="12" s="1"/>
  <c r="AM41" i="4" s="1"/>
  <c r="R25" i="11"/>
  <c r="E18" i="3" s="1"/>
  <c r="R23" i="11"/>
  <c r="R22" i="11"/>
  <c r="R24" i="11"/>
  <c r="D16" i="12"/>
  <c r="E14" i="3" l="1"/>
  <c r="E11" i="12"/>
  <c r="AM45" i="4" s="1"/>
  <c r="AO45" i="4" s="1"/>
  <c r="E16" i="3"/>
  <c r="P36" i="11"/>
  <c r="E9" i="12"/>
  <c r="AM43" i="4" s="1"/>
  <c r="AO43" i="4" s="1"/>
  <c r="E15" i="3"/>
  <c r="E8" i="12"/>
  <c r="AM42" i="4" s="1"/>
  <c r="P38" i="11"/>
  <c r="E17" i="3"/>
  <c r="P37" i="11"/>
  <c r="E10" i="12"/>
  <c r="AM44" i="4" s="1"/>
  <c r="Q58" i="11"/>
  <c r="T54" i="11"/>
  <c r="AP26" i="4"/>
  <c r="AP27" i="4"/>
  <c r="AP28" i="4"/>
  <c r="AP29" i="4"/>
  <c r="AP30" i="4"/>
  <c r="AP31" i="4"/>
  <c r="AP32" i="4"/>
  <c r="AP33" i="4"/>
  <c r="AP34" i="4"/>
  <c r="AP35" i="4"/>
  <c r="AP36" i="4"/>
  <c r="AP25" i="4"/>
  <c r="G38" i="12" l="1"/>
  <c r="P18" i="12"/>
  <c r="P58" i="11"/>
  <c r="F38" i="12" s="1"/>
  <c r="J13" i="12" l="1"/>
  <c r="K12" i="12"/>
  <c r="I8" i="12"/>
  <c r="I7" i="12"/>
  <c r="B11" i="12"/>
  <c r="A11" i="12"/>
  <c r="B10" i="12"/>
  <c r="A10" i="12"/>
  <c r="B9" i="12"/>
  <c r="A9" i="12"/>
  <c r="B8" i="12"/>
  <c r="A8" i="12"/>
  <c r="B7" i="12"/>
  <c r="A7" i="12"/>
  <c r="N7" i="12"/>
  <c r="C31" i="3"/>
  <c r="AM47" i="4" l="1"/>
  <c r="AX9" i="4" s="1"/>
  <c r="AM46" i="4"/>
  <c r="I3" i="3"/>
  <c r="I3" i="2"/>
  <c r="E9" i="3"/>
  <c r="A9" i="3"/>
  <c r="E7" i="3"/>
  <c r="A7" i="3"/>
  <c r="H5" i="3"/>
  <c r="E5" i="3"/>
  <c r="C5" i="3"/>
  <c r="A5" i="3"/>
  <c r="E9" i="2"/>
  <c r="A9" i="2"/>
  <c r="E7" i="2"/>
  <c r="A7" i="2"/>
  <c r="H5" i="2"/>
  <c r="E5" i="2"/>
  <c r="C5" i="2"/>
  <c r="A5" i="2"/>
  <c r="AX8" i="4" l="1"/>
  <c r="AY8" i="4" s="1"/>
  <c r="AX10" i="4"/>
  <c r="AX11" i="4"/>
  <c r="G17" i="2"/>
  <c r="J10" i="1"/>
  <c r="H99" i="9"/>
  <c r="H98" i="9"/>
  <c r="H96" i="9"/>
  <c r="H95" i="9"/>
  <c r="H97" i="9"/>
  <c r="AY11" i="4" l="1"/>
  <c r="AY10" i="4"/>
  <c r="AY9" i="4"/>
  <c r="X6" i="11"/>
  <c r="Z6" i="11" s="1"/>
  <c r="X7" i="11"/>
  <c r="Z7" i="11" s="1"/>
  <c r="X8" i="11"/>
  <c r="Z8" i="11" s="1"/>
  <c r="X9" i="11"/>
  <c r="Z9" i="11" s="1"/>
  <c r="X5" i="11"/>
  <c r="Z5" i="11" s="1"/>
  <c r="E80" i="9" l="1"/>
  <c r="Y29" i="11"/>
  <c r="Y30" i="11"/>
  <c r="Y31" i="11"/>
  <c r="X29" i="11"/>
  <c r="X30" i="11"/>
  <c r="X31" i="11"/>
  <c r="Y28" i="11"/>
  <c r="X28" i="11"/>
  <c r="W29" i="11"/>
  <c r="W30" i="11"/>
  <c r="W31" i="11"/>
  <c r="W28" i="11"/>
  <c r="X23" i="11"/>
  <c r="AA23" i="11" s="1"/>
  <c r="W15" i="11"/>
  <c r="X15" i="11"/>
  <c r="Y15" i="11"/>
  <c r="W16" i="11"/>
  <c r="X16" i="11"/>
  <c r="Y16" i="11"/>
  <c r="W17" i="11"/>
  <c r="X17" i="11"/>
  <c r="Y17" i="11"/>
  <c r="W18" i="11"/>
  <c r="X18" i="11"/>
  <c r="Y18" i="11"/>
  <c r="X14" i="11"/>
  <c r="Y14" i="11"/>
  <c r="W14" i="11"/>
  <c r="Y6" i="11"/>
  <c r="Y7" i="11"/>
  <c r="Y8" i="11"/>
  <c r="Y9" i="11"/>
  <c r="Y5" i="11"/>
  <c r="W6" i="11"/>
  <c r="C17" i="10" s="1"/>
  <c r="W7" i="11"/>
  <c r="C18" i="10" s="1"/>
  <c r="W8" i="11"/>
  <c r="C19" i="10" s="1"/>
  <c r="W9" i="11"/>
  <c r="C20" i="10" s="1"/>
  <c r="W5" i="11"/>
  <c r="C16" i="10" s="1"/>
  <c r="E9" i="1"/>
  <c r="A9" i="1"/>
  <c r="E7" i="1"/>
  <c r="A7" i="1"/>
  <c r="E5" i="1"/>
  <c r="C5" i="1"/>
  <c r="A5" i="1"/>
  <c r="H5" i="1"/>
  <c r="I3" i="1"/>
  <c r="L3" i="10" s="1"/>
  <c r="E127" i="9"/>
  <c r="H121" i="9" s="1"/>
  <c r="J32" i="11"/>
  <c r="H106" i="9" s="1"/>
  <c r="F70" i="9"/>
  <c r="B70" i="9"/>
  <c r="F68" i="9"/>
  <c r="B68" i="9"/>
  <c r="H66" i="9"/>
  <c r="F66" i="9"/>
  <c r="D66" i="9"/>
  <c r="B66" i="9"/>
  <c r="AB5" i="11" l="1"/>
  <c r="C75" i="9" s="1"/>
  <c r="H88" i="9"/>
  <c r="G105" i="9" s="1"/>
  <c r="I88" i="9"/>
  <c r="AB9" i="11"/>
  <c r="C79" i="9" s="1"/>
  <c r="AB8" i="11"/>
  <c r="C78" i="9" s="1"/>
  <c r="AB7" i="11"/>
  <c r="C77" i="9" s="1"/>
  <c r="AB6" i="11"/>
  <c r="C76" i="9" s="1"/>
  <c r="Z31" i="11"/>
  <c r="G83" i="9" s="1"/>
  <c r="AA18" i="11"/>
  <c r="D89" i="9" s="1"/>
  <c r="AA17" i="11"/>
  <c r="D88" i="9" s="1"/>
  <c r="AB16" i="11"/>
  <c r="E87" i="9" s="1"/>
  <c r="Z17" i="11"/>
  <c r="C88" i="9" s="1"/>
  <c r="Z18" i="11"/>
  <c r="C89" i="9" s="1"/>
  <c r="Z16" i="11"/>
  <c r="C87" i="9" s="1"/>
  <c r="AB31" i="11"/>
  <c r="I83" i="9" s="1"/>
  <c r="AA16" i="11"/>
  <c r="D87" i="9" s="1"/>
  <c r="AA31" i="11"/>
  <c r="H83" i="9" s="1"/>
  <c r="AB18" i="11"/>
  <c r="E89" i="9" s="1"/>
  <c r="AB17" i="11"/>
  <c r="E88" i="9" s="1"/>
  <c r="AB30" i="11"/>
  <c r="I81" i="9" s="1"/>
  <c r="AA15" i="11"/>
  <c r="D86" i="9" s="1"/>
  <c r="AB14" i="11"/>
  <c r="E85" i="9" s="1"/>
  <c r="AB15" i="11"/>
  <c r="E86" i="9" s="1"/>
  <c r="AA14" i="11"/>
  <c r="D85" i="9" s="1"/>
  <c r="Z15" i="11"/>
  <c r="C86" i="9" s="1"/>
  <c r="AA9" i="11"/>
  <c r="E79" i="9" s="1"/>
  <c r="AA8" i="11"/>
  <c r="E78" i="9" s="1"/>
  <c r="AA7" i="11"/>
  <c r="E77" i="9" s="1"/>
  <c r="AA5" i="11"/>
  <c r="E75" i="9" s="1"/>
  <c r="AA6" i="11"/>
  <c r="E76" i="9" s="1"/>
  <c r="AA30" i="11"/>
  <c r="H81" i="9" s="1"/>
  <c r="Z30" i="11"/>
  <c r="G81" i="9" s="1"/>
  <c r="Z28" i="11"/>
  <c r="G77" i="9" s="1"/>
  <c r="AA28" i="11"/>
  <c r="H77" i="9" s="1"/>
  <c r="AB28" i="11"/>
  <c r="I77" i="9" s="1"/>
  <c r="AB29" i="11"/>
  <c r="I79" i="9" s="1"/>
  <c r="AA29" i="11"/>
  <c r="H79" i="9" s="1"/>
  <c r="Z29" i="11"/>
  <c r="G79" i="9" s="1"/>
  <c r="Z14" i="11"/>
  <c r="C85" i="9" s="1"/>
  <c r="G100" i="9" s="1"/>
  <c r="G101" i="9" l="1"/>
  <c r="G103" i="9"/>
  <c r="G102" i="9"/>
  <c r="G104" i="9"/>
  <c r="B15" i="3"/>
  <c r="B16" i="3"/>
  <c r="B17" i="3"/>
  <c r="B18" i="3"/>
  <c r="B14" i="3"/>
  <c r="E25" i="11" l="1"/>
  <c r="I108" i="9" l="1"/>
  <c r="I13" i="1"/>
  <c r="L15" i="10"/>
  <c r="B5" i="6"/>
  <c r="J9" i="3"/>
  <c r="C39" i="3"/>
  <c r="J49" i="11" l="1"/>
  <c r="F24" i="3"/>
  <c r="K49" i="11" l="1"/>
  <c r="C37" i="3" s="1"/>
  <c r="K22" i="11"/>
  <c r="K23" i="11"/>
  <c r="K24" i="11"/>
  <c r="K25" i="11"/>
  <c r="K21" i="11"/>
  <c r="J36" i="11" l="1"/>
  <c r="J37" i="11"/>
  <c r="J38" i="11"/>
  <c r="D12" i="11"/>
  <c r="D13" i="11"/>
  <c r="D14" i="11"/>
  <c r="D15" i="11"/>
  <c r="D11" i="11"/>
  <c r="D33" i="11"/>
  <c r="K28" i="11" s="1"/>
  <c r="H102" i="9" s="1"/>
  <c r="D34" i="11"/>
  <c r="K29" i="11" s="1"/>
  <c r="H103" i="9" s="1"/>
  <c r="D35" i="11"/>
  <c r="D32" i="11"/>
  <c r="J27" i="11"/>
  <c r="J28" i="11"/>
  <c r="J29" i="11"/>
  <c r="J30" i="11"/>
  <c r="J26" i="11"/>
  <c r="R27" i="11" l="1"/>
  <c r="J8" i="12" s="1"/>
  <c r="K27" i="11"/>
  <c r="H101" i="9" s="1"/>
  <c r="R30" i="11"/>
  <c r="J11" i="12" s="1"/>
  <c r="K30" i="11"/>
  <c r="R29" i="11"/>
  <c r="J10" i="12" s="1"/>
  <c r="R28" i="11"/>
  <c r="J9" i="12" s="1"/>
  <c r="L28" i="11"/>
  <c r="D36" i="11"/>
  <c r="R26" i="11" s="1"/>
  <c r="J7" i="12" s="1"/>
  <c r="M54" i="11"/>
  <c r="J58" i="11"/>
  <c r="P16" i="3" s="1"/>
  <c r="D24" i="11"/>
  <c r="J51" i="11"/>
  <c r="L27" i="11" l="1"/>
  <c r="L30" i="11"/>
  <c r="M30" i="11" s="1"/>
  <c r="H104" i="9"/>
  <c r="L29" i="11"/>
  <c r="P39" i="11"/>
  <c r="K26" i="11"/>
  <c r="F30" i="11"/>
  <c r="E26" i="11"/>
  <c r="E27" i="11"/>
  <c r="C33" i="2"/>
  <c r="L26" i="11" l="1"/>
  <c r="D19" i="3"/>
  <c r="E11" i="11" s="1"/>
  <c r="K7" i="12" s="1"/>
  <c r="P41" i="11"/>
  <c r="S32" i="11"/>
  <c r="T32" i="11" s="1"/>
  <c r="Q41" i="11" s="1"/>
  <c r="F11" i="11"/>
  <c r="P26" i="11" s="1"/>
  <c r="S26" i="11" s="1"/>
  <c r="F12" i="11"/>
  <c r="P27" i="11" s="1"/>
  <c r="S27" i="11" s="1"/>
  <c r="T27" i="11" s="1"/>
  <c r="F13" i="11"/>
  <c r="P28" i="11" s="1"/>
  <c r="S28" i="11" s="1"/>
  <c r="T28" i="11" s="1"/>
  <c r="F14" i="11"/>
  <c r="P29" i="11" s="1"/>
  <c r="S29" i="11" s="1"/>
  <c r="T29" i="11" s="1"/>
  <c r="F15" i="11"/>
  <c r="P30" i="11" s="1"/>
  <c r="S30" i="11" s="1"/>
  <c r="T30" i="11" s="1"/>
  <c r="J39" i="11"/>
  <c r="D15" i="12" s="1"/>
  <c r="H100" i="9"/>
  <c r="L32" i="11"/>
  <c r="J41" i="11"/>
  <c r="M27" i="11"/>
  <c r="D20" i="3"/>
  <c r="D23" i="3"/>
  <c r="E15" i="11" s="1"/>
  <c r="M28" i="11"/>
  <c r="D21" i="3"/>
  <c r="E13" i="11" s="1"/>
  <c r="M29" i="11"/>
  <c r="D22" i="3"/>
  <c r="E14" i="11" s="1"/>
  <c r="D25" i="11"/>
  <c r="F25" i="11" s="1"/>
  <c r="F24" i="11" l="1" a="1"/>
  <c r="F24" i="11" s="1"/>
  <c r="E12" i="11"/>
  <c r="K8" i="12" s="1"/>
  <c r="Q39" i="11"/>
  <c r="G48" i="12" s="1"/>
  <c r="T26" i="11"/>
  <c r="M26" i="11"/>
  <c r="L7" i="12" s="1"/>
  <c r="D14" i="12"/>
  <c r="J12" i="12" s="1"/>
  <c r="K39" i="11"/>
  <c r="M32" i="11"/>
  <c r="C32" i="2"/>
  <c r="F20" i="3" l="1"/>
  <c r="I100" i="9"/>
  <c r="I106" i="9"/>
  <c r="L13" i="12"/>
  <c r="F21" i="3"/>
  <c r="K9" i="12"/>
  <c r="I101" i="9"/>
  <c r="L8" i="12"/>
  <c r="F22" i="3"/>
  <c r="K10" i="12"/>
  <c r="K11" i="12"/>
  <c r="G19" i="3"/>
  <c r="G25" i="3"/>
  <c r="K41" i="11"/>
  <c r="F19" i="3"/>
  <c r="F23" i="3"/>
  <c r="AB13" i="4"/>
  <c r="AB14" i="4"/>
  <c r="AB15" i="4"/>
  <c r="AB16" i="4"/>
  <c r="AB17" i="4"/>
  <c r="AB18" i="4"/>
  <c r="AB19" i="4"/>
  <c r="AB20" i="4"/>
  <c r="AB12" i="4"/>
  <c r="AX17" i="4" l="1"/>
  <c r="AX16" i="4"/>
  <c r="AX15" i="4"/>
  <c r="AX14" i="4"/>
  <c r="AX13" i="4"/>
  <c r="AX18" i="4"/>
  <c r="AV16" i="4"/>
  <c r="AV19" i="4"/>
  <c r="AV18" i="4"/>
  <c r="AV13" i="4"/>
  <c r="AV12" i="4"/>
  <c r="AV14" i="4"/>
  <c r="AV15" i="4"/>
  <c r="AV17" i="4"/>
  <c r="AX12" i="4"/>
  <c r="AX19" i="4"/>
  <c r="AW17" i="4"/>
  <c r="AW14" i="4"/>
  <c r="AW16" i="4"/>
  <c r="AW12" i="4"/>
  <c r="AW13" i="4"/>
  <c r="AW18" i="4"/>
  <c r="AW15" i="4"/>
  <c r="AW19" i="4"/>
  <c r="I104" i="9"/>
  <c r="L11" i="12"/>
  <c r="I103" i="9"/>
  <c r="L10" i="12"/>
  <c r="G22" i="3"/>
  <c r="G23" i="3"/>
  <c r="L36" i="10"/>
  <c r="L37" i="10"/>
  <c r="L38" i="10"/>
  <c r="L39" i="10"/>
  <c r="L40" i="10"/>
  <c r="L6" i="10"/>
  <c r="H6" i="10"/>
  <c r="E6" i="10"/>
  <c r="A6" i="10"/>
  <c r="A8" i="10"/>
  <c r="A10" i="10"/>
  <c r="K26" i="10"/>
  <c r="I26" i="10"/>
  <c r="G25" i="10"/>
  <c r="K24" i="10"/>
  <c r="K25" i="10" s="1"/>
  <c r="I24" i="10"/>
  <c r="I25" i="10" s="1"/>
  <c r="L30" i="6"/>
  <c r="K30" i="6"/>
  <c r="J30" i="6"/>
  <c r="I30" i="6"/>
  <c r="H30" i="6"/>
  <c r="S39" i="4"/>
  <c r="S40" i="4"/>
  <c r="S41" i="4"/>
  <c r="S42" i="4"/>
  <c r="S43" i="4"/>
  <c r="S44" i="4"/>
  <c r="S45" i="4"/>
  <c r="S46" i="4"/>
  <c r="S47" i="4"/>
  <c r="S48" i="4"/>
  <c r="S49" i="4"/>
  <c r="S50" i="4"/>
  <c r="S51" i="4"/>
  <c r="R50" i="4"/>
  <c r="R51" i="4"/>
  <c r="R40" i="4"/>
  <c r="R41" i="4"/>
  <c r="R42" i="4"/>
  <c r="R43" i="4"/>
  <c r="R44" i="4"/>
  <c r="R45" i="4"/>
  <c r="R46" i="4"/>
  <c r="R47" i="4"/>
  <c r="R48" i="4"/>
  <c r="R49" i="4"/>
  <c r="R39" i="4"/>
  <c r="AY15" i="4" l="1"/>
  <c r="AY16" i="4"/>
  <c r="AY12" i="4"/>
  <c r="AY17" i="4"/>
  <c r="AY14" i="4"/>
  <c r="AY19" i="4"/>
  <c r="AY13" i="4"/>
  <c r="AY18" i="4"/>
  <c r="AW20" i="4"/>
  <c r="AV20" i="4"/>
  <c r="F23" i="1"/>
  <c r="E23" i="1"/>
  <c r="D23" i="1"/>
  <c r="C23" i="1"/>
  <c r="B23" i="1"/>
  <c r="AY20" i="4" l="1"/>
  <c r="C58" i="12" s="1"/>
  <c r="D6" i="11"/>
  <c r="I14" i="1"/>
  <c r="D7" i="11" s="1"/>
  <c r="I15" i="1"/>
  <c r="D8" i="11" s="1"/>
  <c r="I16" i="1"/>
  <c r="D9" i="11" s="1"/>
  <c r="I17" i="1"/>
  <c r="D10" i="11" s="1"/>
  <c r="F9" i="11" l="1"/>
  <c r="P24" i="11" s="1"/>
  <c r="F10" i="12" s="1"/>
  <c r="E9" i="11"/>
  <c r="J24" i="11" s="1"/>
  <c r="F17" i="3" s="1"/>
  <c r="F7" i="11"/>
  <c r="P22" i="11" s="1"/>
  <c r="F8" i="12" s="1"/>
  <c r="E7" i="11"/>
  <c r="J22" i="11" s="1"/>
  <c r="F15" i="3" s="1"/>
  <c r="F10" i="11"/>
  <c r="P25" i="11" s="1"/>
  <c r="F11" i="12" s="1"/>
  <c r="E10" i="11"/>
  <c r="J25" i="11" s="1"/>
  <c r="F18" i="3" s="1"/>
  <c r="F6" i="11"/>
  <c r="P21" i="11" s="1"/>
  <c r="F7" i="12" s="1"/>
  <c r="E6" i="11"/>
  <c r="J21" i="11" s="1"/>
  <c r="F14" i="3" s="1"/>
  <c r="F8" i="11"/>
  <c r="E8" i="11"/>
  <c r="D27" i="4"/>
  <c r="D28" i="4"/>
  <c r="O26" i="4" s="1"/>
  <c r="E28" i="4"/>
  <c r="D29" i="4"/>
  <c r="E29" i="4"/>
  <c r="D30" i="4"/>
  <c r="O28" i="4" s="1"/>
  <c r="E30" i="4"/>
  <c r="D31" i="4"/>
  <c r="E31" i="4"/>
  <c r="D32" i="4"/>
  <c r="O30" i="4" s="1"/>
  <c r="E32" i="4"/>
  <c r="D33" i="4"/>
  <c r="E33" i="4"/>
  <c r="D34" i="4"/>
  <c r="O32" i="4" s="1"/>
  <c r="E34" i="4"/>
  <c r="D35" i="4"/>
  <c r="E35" i="4"/>
  <c r="D36" i="4"/>
  <c r="O34" i="4" s="1"/>
  <c r="E36" i="4"/>
  <c r="D37" i="4"/>
  <c r="E37" i="4"/>
  <c r="D38" i="4"/>
  <c r="O36" i="4" s="1"/>
  <c r="E38" i="4"/>
  <c r="D39" i="4"/>
  <c r="E39" i="4"/>
  <c r="D40" i="4"/>
  <c r="O38" i="4" s="1"/>
  <c r="E40" i="4"/>
  <c r="F24" i="1"/>
  <c r="E24" i="1"/>
  <c r="D24" i="1"/>
  <c r="C24" i="1"/>
  <c r="B24" i="1"/>
  <c r="L21" i="11" l="1"/>
  <c r="M21" i="11" s="1"/>
  <c r="G14" i="3" s="1"/>
  <c r="P23" i="11"/>
  <c r="F9" i="12" s="1"/>
  <c r="AN43" i="4" s="1"/>
  <c r="J23" i="11"/>
  <c r="L24" i="11"/>
  <c r="AN41" i="4"/>
  <c r="AO41" i="4" s="1"/>
  <c r="S21" i="11"/>
  <c r="T21" i="11" s="1"/>
  <c r="G7" i="12" s="1"/>
  <c r="AN42" i="4"/>
  <c r="AO42" i="4" s="1"/>
  <c r="S22" i="11"/>
  <c r="T22" i="11" s="1"/>
  <c r="G8" i="12" s="1"/>
  <c r="L22" i="11"/>
  <c r="M22" i="11" s="1"/>
  <c r="G15" i="3" s="1"/>
  <c r="AN44" i="4"/>
  <c r="AO44" i="4" s="1"/>
  <c r="S24" i="11"/>
  <c r="T24" i="11" s="1"/>
  <c r="G10" i="12" s="1"/>
  <c r="AN45" i="4"/>
  <c r="S25" i="11"/>
  <c r="T25" i="11" s="1"/>
  <c r="G11" i="12" s="1"/>
  <c r="L25" i="11"/>
  <c r="M25" i="11" s="1"/>
  <c r="G18" i="3" s="1"/>
  <c r="S23" i="11" l="1"/>
  <c r="T23" i="11" s="1"/>
  <c r="G9" i="12" s="1"/>
  <c r="L23" i="11"/>
  <c r="M23" i="11" s="1"/>
  <c r="G16" i="3" s="1"/>
  <c r="F16" i="3"/>
  <c r="AO46" i="4"/>
  <c r="AP43" i="4" s="1"/>
  <c r="M24" i="11"/>
  <c r="G17" i="3" s="1"/>
  <c r="I99" i="9"/>
  <c r="I96" i="9"/>
  <c r="K37" i="11"/>
  <c r="I95" i="9"/>
  <c r="I97" i="9" l="1"/>
  <c r="K38" i="11"/>
  <c r="K36" i="11"/>
  <c r="AP44" i="4"/>
  <c r="AQ17" i="4" s="1"/>
  <c r="AP42" i="4"/>
  <c r="AO13" i="4" s="1"/>
  <c r="AP45" i="4"/>
  <c r="AR12" i="4" s="1"/>
  <c r="AP41" i="4"/>
  <c r="I98" i="9"/>
  <c r="AP16" i="4"/>
  <c r="AP9" i="4"/>
  <c r="AP17" i="4"/>
  <c r="AP20" i="4"/>
  <c r="AP12" i="4"/>
  <c r="AP8" i="4"/>
  <c r="AP13" i="4"/>
  <c r="AP14" i="4"/>
  <c r="AP10" i="4"/>
  <c r="AP18" i="4"/>
  <c r="AP19" i="4"/>
  <c r="AP15" i="4"/>
  <c r="AP11" i="4"/>
  <c r="H9" i="12"/>
  <c r="B42" i="2"/>
  <c r="AN9" i="4" l="1"/>
  <c r="AR19" i="4"/>
  <c r="AR8" i="4"/>
  <c r="AO15" i="4"/>
  <c r="AR17" i="4"/>
  <c r="H8" i="12"/>
  <c r="AR9" i="4"/>
  <c r="AR20" i="4"/>
  <c r="AR11" i="4"/>
  <c r="AO17" i="4"/>
  <c r="H7" i="12"/>
  <c r="AO11" i="4"/>
  <c r="AO10" i="4"/>
  <c r="AO12" i="4"/>
  <c r="AR10" i="4"/>
  <c r="AN11" i="4"/>
  <c r="AN16" i="4"/>
  <c r="AN15" i="4"/>
  <c r="AQ14" i="4"/>
  <c r="AQ19" i="4"/>
  <c r="AQ13" i="4"/>
  <c r="H10" i="12"/>
  <c r="AQ9" i="4"/>
  <c r="AQ11" i="4"/>
  <c r="AQ12" i="4"/>
  <c r="AQ8" i="4"/>
  <c r="AQ20" i="4"/>
  <c r="AQ10" i="4"/>
  <c r="AQ16" i="4"/>
  <c r="AO9" i="4"/>
  <c r="AO20" i="4"/>
  <c r="AN19" i="4"/>
  <c r="AQ15" i="4"/>
  <c r="AQ18" i="4"/>
  <c r="AN10" i="4"/>
  <c r="AN17" i="4"/>
  <c r="AN14" i="4"/>
  <c r="AN13" i="4"/>
  <c r="AN20" i="4"/>
  <c r="AN12" i="4"/>
  <c r="AN18" i="4"/>
  <c r="AN8" i="4"/>
  <c r="AO16" i="4"/>
  <c r="AO19" i="4"/>
  <c r="AO8" i="4"/>
  <c r="AO14" i="4"/>
  <c r="AO18" i="4"/>
  <c r="AR16" i="4"/>
  <c r="AR15" i="4"/>
  <c r="AR18" i="4"/>
  <c r="AR14" i="4"/>
  <c r="H11" i="12"/>
  <c r="AR13" i="4"/>
  <c r="L9" i="12"/>
  <c r="AS17" i="4" l="1"/>
  <c r="AS11" i="4"/>
  <c r="AS10" i="4"/>
  <c r="AS9" i="4"/>
  <c r="AS12" i="4"/>
  <c r="AS20" i="4"/>
  <c r="H42" i="12" s="1"/>
  <c r="AS15" i="4"/>
  <c r="AS19" i="4"/>
  <c r="AS13" i="4"/>
  <c r="AS16" i="4"/>
  <c r="AS8" i="4"/>
  <c r="AS14" i="4"/>
  <c r="AS18" i="4"/>
  <c r="I102" i="9"/>
  <c r="G20" i="3"/>
  <c r="G21" i="3"/>
  <c r="J6" i="6"/>
  <c r="AT16" i="4" l="1"/>
  <c r="AM32" i="4" s="1"/>
  <c r="AT20" i="4"/>
  <c r="AM36" i="4" s="1"/>
  <c r="AT17" i="4"/>
  <c r="AM33" i="4" s="1"/>
  <c r="AT11" i="4"/>
  <c r="AM27" i="4" s="1"/>
  <c r="AT19" i="4"/>
  <c r="AM35" i="4" s="1"/>
  <c r="AT13" i="4"/>
  <c r="AM29" i="4" s="1"/>
  <c r="AT15" i="4"/>
  <c r="AT10" i="4"/>
  <c r="AM26" i="4" s="1"/>
  <c r="AT9" i="4"/>
  <c r="AM25" i="4" s="1"/>
  <c r="AT8" i="4"/>
  <c r="AM24" i="4" s="1"/>
  <c r="AT12" i="4"/>
  <c r="AM28" i="4" s="1"/>
  <c r="AT14" i="4"/>
  <c r="AM30" i="4" s="1"/>
  <c r="AT18" i="4"/>
  <c r="AM34" i="4" s="1"/>
  <c r="R31" i="11"/>
  <c r="P40" i="11" s="1"/>
  <c r="P42" i="11" s="1"/>
  <c r="K31" i="11"/>
  <c r="L31" i="11" s="1"/>
  <c r="J14" i="12"/>
  <c r="E32" i="11"/>
  <c r="E35" i="11"/>
  <c r="E33" i="11"/>
  <c r="E34" i="11"/>
  <c r="C29" i="3"/>
  <c r="AC27" i="4"/>
  <c r="AC28" i="4"/>
  <c r="AC29" i="4"/>
  <c r="AC30" i="4"/>
  <c r="AC26" i="4"/>
  <c r="H38" i="12" l="1"/>
  <c r="H40" i="12"/>
  <c r="AM31" i="4"/>
  <c r="AJ8" i="4"/>
  <c r="AJ11" i="4"/>
  <c r="AJ10" i="4"/>
  <c r="AJ9" i="4"/>
  <c r="S31" i="11"/>
  <c r="Q40" i="11" s="1"/>
  <c r="J40" i="11"/>
  <c r="J42" i="11" s="1"/>
  <c r="D24" i="3"/>
  <c r="F32" i="11"/>
  <c r="K40" i="11"/>
  <c r="K42" i="11" s="1"/>
  <c r="AJ15" i="4"/>
  <c r="AJ19" i="4"/>
  <c r="AJ14" i="4"/>
  <c r="AJ16" i="4"/>
  <c r="AJ13" i="4"/>
  <c r="AJ17" i="4"/>
  <c r="AJ18" i="4"/>
  <c r="AJ12" i="4"/>
  <c r="AC31" i="4"/>
  <c r="AE34" i="4" s="1"/>
  <c r="L31" i="10" s="1"/>
  <c r="AI18" i="4"/>
  <c r="AI13" i="4"/>
  <c r="AI12" i="4"/>
  <c r="AI17" i="4"/>
  <c r="AH14" i="4"/>
  <c r="AH15" i="4"/>
  <c r="AH13" i="4"/>
  <c r="AH12" i="4"/>
  <c r="AI15" i="4"/>
  <c r="AI19" i="4"/>
  <c r="AI16" i="4"/>
  <c r="AI14" i="4"/>
  <c r="AH17" i="4"/>
  <c r="AH18" i="4"/>
  <c r="AH19" i="4"/>
  <c r="AH16" i="4"/>
  <c r="D26" i="3" l="1"/>
  <c r="B46" i="2"/>
  <c r="T31" i="11"/>
  <c r="J47" i="11"/>
  <c r="K47" i="11" s="1"/>
  <c r="H105" i="9"/>
  <c r="I14" i="3"/>
  <c r="H32" i="6" s="1"/>
  <c r="M31" i="11"/>
  <c r="J46" i="11"/>
  <c r="J48" i="11" s="1"/>
  <c r="K48" i="11" s="1"/>
  <c r="J45" i="11"/>
  <c r="K45" i="11" s="1"/>
  <c r="J44" i="11"/>
  <c r="K44" i="11" s="1"/>
  <c r="AK19" i="4"/>
  <c r="H31" i="6"/>
  <c r="AK18" i="4"/>
  <c r="AK10" i="4"/>
  <c r="AK16" i="4"/>
  <c r="AK12" i="4"/>
  <c r="AK17" i="4"/>
  <c r="AK9" i="4"/>
  <c r="AK8" i="4"/>
  <c r="AK15" i="4"/>
  <c r="AK14" i="4"/>
  <c r="AK13" i="4"/>
  <c r="AK11" i="4"/>
  <c r="AI20" i="4"/>
  <c r="C41" i="1" s="1"/>
  <c r="AE36" i="4"/>
  <c r="L33" i="10" s="1"/>
  <c r="AE35" i="4"/>
  <c r="L32" i="10" s="1"/>
  <c r="AE38" i="4"/>
  <c r="L35" i="10" s="1"/>
  <c r="AE37" i="4"/>
  <c r="L34" i="10" s="1"/>
  <c r="AH20" i="4"/>
  <c r="C40" i="1" s="1"/>
  <c r="J42" i="10" l="1"/>
  <c r="M28" i="10" s="1"/>
  <c r="G24" i="3"/>
  <c r="L12" i="12"/>
  <c r="L14" i="12" s="1"/>
  <c r="I18" i="3"/>
  <c r="L42" i="6" s="1"/>
  <c r="I17" i="3"/>
  <c r="K33" i="6" s="1"/>
  <c r="I15" i="3"/>
  <c r="I40" i="6" s="1"/>
  <c r="I16" i="3"/>
  <c r="J39" i="6" s="1"/>
  <c r="I105" i="9"/>
  <c r="I107" i="9" s="1"/>
  <c r="C33" i="3"/>
  <c r="C35" i="3"/>
  <c r="C36" i="3"/>
  <c r="J50" i="11"/>
  <c r="K50" i="11" s="1"/>
  <c r="AK20" i="4"/>
  <c r="J31" i="6"/>
  <c r="K31" i="6"/>
  <c r="L31" i="6"/>
  <c r="I31" i="6"/>
  <c r="H37" i="6"/>
  <c r="H33" i="6"/>
  <c r="H38" i="6"/>
  <c r="H39" i="6"/>
  <c r="H43" i="6"/>
  <c r="H44" i="6"/>
  <c r="H40" i="6"/>
  <c r="H41" i="6"/>
  <c r="H36" i="6"/>
  <c r="H34" i="6"/>
  <c r="H42" i="6"/>
  <c r="H35" i="6"/>
  <c r="AE39" i="4"/>
  <c r="AE40" i="4"/>
  <c r="L50" i="11" l="1"/>
  <c r="H120" i="9" s="1"/>
  <c r="G28" i="10"/>
  <c r="C57" i="3"/>
  <c r="K46" i="11"/>
  <c r="C38" i="3"/>
  <c r="C32" i="3"/>
  <c r="J36" i="6"/>
  <c r="J44" i="6"/>
  <c r="J35" i="6"/>
  <c r="J42" i="6"/>
  <c r="J34" i="6"/>
  <c r="J40" i="6"/>
  <c r="J37" i="6"/>
  <c r="J38" i="6"/>
  <c r="K34" i="6"/>
  <c r="K41" i="6"/>
  <c r="K32" i="6"/>
  <c r="K36" i="6"/>
  <c r="L36" i="6"/>
  <c r="L37" i="6"/>
  <c r="L43" i="6"/>
  <c r="L41" i="6"/>
  <c r="L34" i="6"/>
  <c r="K39" i="6"/>
  <c r="J41" i="6"/>
  <c r="L38" i="6"/>
  <c r="J33" i="6"/>
  <c r="L44" i="6"/>
  <c r="L33" i="6"/>
  <c r="L35" i="6"/>
  <c r="L39" i="6"/>
  <c r="L40" i="6"/>
  <c r="L32" i="6"/>
  <c r="K38" i="6"/>
  <c r="K43" i="6"/>
  <c r="K37" i="6"/>
  <c r="K35" i="6"/>
  <c r="K44" i="6"/>
  <c r="I34" i="6"/>
  <c r="K42" i="6"/>
  <c r="K40" i="6"/>
  <c r="I37" i="6"/>
  <c r="I42" i="6"/>
  <c r="I44" i="6"/>
  <c r="I33" i="6"/>
  <c r="I36" i="6"/>
  <c r="I43" i="6"/>
  <c r="I39" i="6"/>
  <c r="I35" i="6"/>
  <c r="J32" i="6"/>
  <c r="J43" i="6"/>
  <c r="I38" i="6"/>
  <c r="I41" i="6"/>
  <c r="I32" i="6"/>
  <c r="C34" i="3" l="1"/>
  <c r="M44" i="6"/>
  <c r="Q55" i="11" s="1"/>
  <c r="M34" i="6"/>
  <c r="N34" i="6" s="1"/>
  <c r="M32" i="6"/>
  <c r="N32" i="6" s="1"/>
  <c r="M36" i="6"/>
  <c r="N36" i="6" s="1"/>
  <c r="M33" i="6"/>
  <c r="N33" i="6" s="1"/>
  <c r="M41" i="6"/>
  <c r="N41" i="6" s="1"/>
  <c r="M39" i="6"/>
  <c r="N39" i="6" s="1"/>
  <c r="M40" i="6"/>
  <c r="N40" i="6" s="1"/>
  <c r="M35" i="6"/>
  <c r="N35" i="6" s="1"/>
  <c r="M42" i="6"/>
  <c r="N42" i="6" s="1"/>
  <c r="M43" i="6"/>
  <c r="N43" i="6" s="1"/>
  <c r="M38" i="6"/>
  <c r="N38" i="6" s="1"/>
  <c r="M37" i="6"/>
  <c r="N37" i="6" s="1"/>
  <c r="AD30" i="4"/>
  <c r="AE30" i="4" s="1"/>
  <c r="J4" i="6" l="1"/>
  <c r="R55" i="11"/>
  <c r="J55" i="11"/>
  <c r="N44" i="6"/>
  <c r="J5" i="6"/>
  <c r="J7" i="6" s="1"/>
  <c r="AD27" i="4"/>
  <c r="AE27" i="4" s="1"/>
  <c r="E130" i="9" l="1"/>
  <c r="L58" i="3"/>
  <c r="K55" i="11"/>
  <c r="E10" i="10"/>
  <c r="E8" i="10"/>
  <c r="F130" i="9" l="1"/>
  <c r="M57" i="3"/>
  <c r="K28" i="10"/>
  <c r="G27" i="10"/>
  <c r="G29" i="10" s="1"/>
  <c r="K27" i="10"/>
  <c r="I27" i="10"/>
  <c r="K29" i="10" l="1"/>
  <c r="M27" i="10"/>
  <c r="I28" i="10"/>
  <c r="I29" i="10" s="1"/>
  <c r="M29" i="10" l="1"/>
  <c r="E46" i="10" s="1"/>
  <c r="C36" i="2" s="1"/>
  <c r="D36" i="2" l="1"/>
  <c r="D25" i="3" l="1"/>
  <c r="AD26" i="4" l="1"/>
  <c r="AE26" i="4" s="1"/>
  <c r="AD29" i="4" l="1"/>
  <c r="AE29" i="4" s="1"/>
  <c r="AD28" i="4" l="1"/>
  <c r="AE28" i="4" s="1"/>
  <c r="G26" i="3" l="1"/>
  <c r="C30" i="3"/>
  <c r="AH25" i="4"/>
  <c r="C60" i="4"/>
  <c r="O5" i="4"/>
  <c r="G10" i="4" s="1"/>
  <c r="D22" i="4"/>
  <c r="D21" i="4"/>
  <c r="D20" i="4"/>
  <c r="D19" i="4"/>
  <c r="D18" i="4"/>
  <c r="D17" i="4"/>
  <c r="D16" i="4"/>
  <c r="D15" i="4"/>
  <c r="D14" i="4"/>
  <c r="D13" i="4"/>
  <c r="D12" i="4"/>
  <c r="C22" i="4"/>
  <c r="C21" i="4"/>
  <c r="C20" i="4"/>
  <c r="C19" i="4"/>
  <c r="C18" i="4"/>
  <c r="C17" i="4"/>
  <c r="C16" i="4"/>
  <c r="C15" i="4"/>
  <c r="C14" i="4"/>
  <c r="C13" i="4"/>
  <c r="C12" i="4"/>
  <c r="D11" i="4"/>
  <c r="C11" i="4"/>
  <c r="D10" i="4"/>
  <c r="C10" i="4"/>
  <c r="F8" i="4"/>
  <c r="E8" i="4"/>
  <c r="D8" i="4"/>
  <c r="C8" i="4"/>
  <c r="E6" i="4"/>
  <c r="D6" i="4"/>
  <c r="C6" i="4"/>
  <c r="A18" i="3"/>
  <c r="A17" i="3"/>
  <c r="A16" i="3"/>
  <c r="A15" i="3"/>
  <c r="A14" i="3"/>
  <c r="A20" i="3"/>
  <c r="A19" i="3"/>
  <c r="L70" i="4" l="1"/>
  <c r="L69" i="4"/>
  <c r="L68" i="4"/>
  <c r="L67" i="4"/>
  <c r="L66" i="4"/>
  <c r="D68" i="4"/>
  <c r="L65" i="4"/>
  <c r="I67" i="4"/>
  <c r="D55" i="4"/>
  <c r="D54" i="4"/>
  <c r="D53" i="4"/>
  <c r="D52" i="4"/>
  <c r="E21" i="4"/>
  <c r="E19" i="4"/>
  <c r="E18" i="4"/>
  <c r="E15" i="4"/>
  <c r="G6" i="4"/>
  <c r="H22" i="1"/>
  <c r="E14" i="4" l="1"/>
  <c r="G63" i="4"/>
  <c r="D64" i="4"/>
  <c r="M63" i="4"/>
  <c r="E12" i="4"/>
  <c r="M66" i="4"/>
  <c r="E11" i="4"/>
  <c r="E22" i="4"/>
  <c r="E68" i="4"/>
  <c r="E16" i="4"/>
  <c r="E20" i="4"/>
  <c r="M69" i="4"/>
  <c r="E13" i="4"/>
  <c r="E17" i="4"/>
  <c r="D63" i="4"/>
  <c r="D62" i="4" s="1"/>
  <c r="E10" i="4"/>
  <c r="J22" i="1"/>
  <c r="D67" i="4"/>
  <c r="E67" i="4" s="1"/>
  <c r="D65" i="4" s="1"/>
  <c r="D69" i="4"/>
  <c r="E69" i="4" s="1"/>
  <c r="G64" i="4" s="1"/>
  <c r="H63" i="4" s="1"/>
  <c r="G11" i="4"/>
  <c r="O18" i="4" l="1"/>
  <c r="N15" i="4"/>
  <c r="N13" i="4"/>
  <c r="AH36" i="4"/>
  <c r="AH27" i="4"/>
  <c r="AH32" i="4"/>
  <c r="AH29" i="4"/>
  <c r="AH35" i="4"/>
  <c r="AH28" i="4"/>
  <c r="AH34" i="4"/>
  <c r="AH26" i="4"/>
  <c r="AI25" i="4"/>
  <c r="AJ25" i="4" s="1"/>
  <c r="L5" i="11" s="1"/>
  <c r="AH33" i="4"/>
  <c r="AH31" i="4"/>
  <c r="AH37" i="4"/>
  <c r="AH30" i="4"/>
  <c r="N19" i="4"/>
  <c r="N17" i="4"/>
  <c r="AE31" i="4"/>
  <c r="AB34" i="4" s="1"/>
  <c r="N14" i="4"/>
  <c r="O13" i="4"/>
  <c r="O14" i="4"/>
  <c r="P18" i="4"/>
  <c r="G20" i="4" s="1"/>
  <c r="P16" i="4"/>
  <c r="G18" i="4" s="1"/>
  <c r="O17" i="4"/>
  <c r="E64" i="4"/>
  <c r="P14" i="4"/>
  <c r="G16" i="4" s="1"/>
  <c r="P10" i="4"/>
  <c r="G12" i="4" s="1"/>
  <c r="P12" i="4"/>
  <c r="G14" i="4" s="1"/>
  <c r="N18" i="4"/>
  <c r="P15" i="4"/>
  <c r="G17" i="4" s="1"/>
  <c r="O15" i="4"/>
  <c r="O11" i="4"/>
  <c r="P11" i="4"/>
  <c r="G13" i="4" s="1"/>
  <c r="O16" i="4"/>
  <c r="O20" i="4"/>
  <c r="N16" i="4"/>
  <c r="N20" i="4"/>
  <c r="P19" i="4"/>
  <c r="G21" i="4" s="1"/>
  <c r="O19" i="4"/>
  <c r="O12" i="4"/>
  <c r="N12" i="4"/>
  <c r="P20" i="4"/>
  <c r="G22" i="4" s="1"/>
  <c r="P13" i="4"/>
  <c r="G15" i="4" s="1"/>
  <c r="P17" i="4"/>
  <c r="G19" i="4" s="1"/>
  <c r="F12" i="4"/>
  <c r="F18" i="4"/>
  <c r="F19" i="4"/>
  <c r="F14" i="4"/>
  <c r="F20" i="4"/>
  <c r="F10" i="4"/>
  <c r="H10" i="4" s="1"/>
  <c r="I10" i="4" s="1"/>
  <c r="F11" i="4"/>
  <c r="H11" i="4" s="1"/>
  <c r="I11" i="4" s="1"/>
  <c r="F13" i="4"/>
  <c r="F22" i="4"/>
  <c r="F17" i="4"/>
  <c r="F21" i="4"/>
  <c r="F15" i="4"/>
  <c r="F16" i="4"/>
  <c r="E63" i="4"/>
  <c r="M5" i="11" l="1"/>
  <c r="D111" i="9"/>
  <c r="AB35" i="4"/>
  <c r="H14" i="3"/>
  <c r="AI37" i="4"/>
  <c r="AJ37" i="4" s="1"/>
  <c r="L17" i="11" s="1"/>
  <c r="AI36" i="4"/>
  <c r="AJ36" i="4" s="1"/>
  <c r="L16" i="11" s="1"/>
  <c r="AI28" i="4"/>
  <c r="AJ28" i="4" s="1"/>
  <c r="L8" i="11" s="1"/>
  <c r="AI29" i="4"/>
  <c r="AJ29" i="4" s="1"/>
  <c r="L9" i="11" s="1"/>
  <c r="AI33" i="4"/>
  <c r="AJ33" i="4" s="1"/>
  <c r="L13" i="11" s="1"/>
  <c r="AI26" i="4"/>
  <c r="AI35" i="4"/>
  <c r="AJ35" i="4" s="1"/>
  <c r="L15" i="11" s="1"/>
  <c r="AI34" i="4"/>
  <c r="AJ34" i="4" s="1"/>
  <c r="L14" i="11" s="1"/>
  <c r="AB37" i="4"/>
  <c r="AB36" i="4"/>
  <c r="AB38" i="4"/>
  <c r="AI31" i="4"/>
  <c r="AJ31" i="4" s="1"/>
  <c r="L11" i="11" s="1"/>
  <c r="AI32" i="4"/>
  <c r="AJ32" i="4" s="1"/>
  <c r="L12" i="11" s="1"/>
  <c r="AI27" i="4"/>
  <c r="AJ27" i="4" s="1"/>
  <c r="L7" i="11" s="1"/>
  <c r="AI30" i="4"/>
  <c r="AJ30" i="4" s="1"/>
  <c r="L10" i="11" s="1"/>
  <c r="H20" i="4"/>
  <c r="I20" i="4" s="1"/>
  <c r="H16" i="4"/>
  <c r="I16" i="4" s="1"/>
  <c r="H18" i="4"/>
  <c r="I18" i="4" s="1"/>
  <c r="H12" i="4"/>
  <c r="I12" i="4" s="1"/>
  <c r="H22" i="4"/>
  <c r="I22" i="4" s="1"/>
  <c r="H14" i="4"/>
  <c r="I14" i="4" s="1"/>
  <c r="H15" i="4"/>
  <c r="I15" i="4" s="1"/>
  <c r="H17" i="4"/>
  <c r="I17" i="4" s="1"/>
  <c r="H13" i="4"/>
  <c r="I13" i="4" s="1"/>
  <c r="H21" i="4"/>
  <c r="I21" i="4" s="1"/>
  <c r="H19" i="4"/>
  <c r="I19" i="4" s="1"/>
  <c r="H18" i="3" l="1"/>
  <c r="H16" i="3"/>
  <c r="H15" i="3"/>
  <c r="H17" i="3"/>
  <c r="M7" i="11"/>
  <c r="D113" i="9"/>
  <c r="E111" i="9"/>
  <c r="AJ26" i="4"/>
  <c r="L6" i="11" s="1"/>
  <c r="AB40" i="4"/>
  <c r="AB39" i="4"/>
  <c r="I23" i="4"/>
  <c r="H23" i="4"/>
  <c r="Q37" i="11" l="1"/>
  <c r="G47" i="12" s="1"/>
  <c r="Q36" i="11"/>
  <c r="G46" i="12" s="1"/>
  <c r="E113" i="9"/>
  <c r="M8" i="11"/>
  <c r="D114" i="9"/>
  <c r="M17" i="11"/>
  <c r="D123" i="9"/>
  <c r="M12" i="11"/>
  <c r="D118" i="9"/>
  <c r="M15" i="11"/>
  <c r="D121" i="9"/>
  <c r="M13" i="11"/>
  <c r="D119" i="9"/>
  <c r="M6" i="11"/>
  <c r="D112" i="9"/>
  <c r="M16" i="11"/>
  <c r="D122" i="9"/>
  <c r="M9" i="11"/>
  <c r="D115" i="9"/>
  <c r="M10" i="11"/>
  <c r="D116" i="9"/>
  <c r="M11" i="11"/>
  <c r="D117" i="9"/>
  <c r="M14" i="11"/>
  <c r="D120" i="9"/>
  <c r="C54" i="3"/>
  <c r="C46" i="3"/>
  <c r="C45" i="3"/>
  <c r="C50" i="3"/>
  <c r="C48" i="3"/>
  <c r="C56" i="3"/>
  <c r="C53" i="3"/>
  <c r="C49" i="3"/>
  <c r="C47" i="3"/>
  <c r="K58" i="11"/>
  <c r="F127" i="9" s="1"/>
  <c r="J56" i="11"/>
  <c r="C52" i="3"/>
  <c r="C51" i="3"/>
  <c r="C55" i="3"/>
  <c r="D44" i="3"/>
  <c r="D46" i="3"/>
  <c r="I41" i="12" l="1"/>
  <c r="Q38" i="11"/>
  <c r="G45" i="12" s="1"/>
  <c r="I40" i="12"/>
  <c r="I38" i="12"/>
  <c r="E116" i="9"/>
  <c r="E114" i="9"/>
  <c r="D52" i="3"/>
  <c r="F128" i="9"/>
  <c r="D53" i="3"/>
  <c r="D48" i="3"/>
  <c r="E117" i="9"/>
  <c r="E123" i="9"/>
  <c r="D56" i="3"/>
  <c r="E120" i="9"/>
  <c r="D50" i="3"/>
  <c r="D49" i="3"/>
  <c r="E115" i="9"/>
  <c r="D47" i="3"/>
  <c r="E119" i="9"/>
  <c r="D45" i="3"/>
  <c r="E112" i="9"/>
  <c r="D54" i="3"/>
  <c r="E121" i="9"/>
  <c r="D51" i="3"/>
  <c r="E118" i="9"/>
  <c r="D55" i="3"/>
  <c r="E122" i="9"/>
  <c r="K56" i="11"/>
  <c r="L58" i="11"/>
  <c r="L54" i="3"/>
  <c r="L56" i="3"/>
  <c r="C44" i="3"/>
  <c r="I109" i="9"/>
  <c r="Q42" i="11" l="1"/>
  <c r="AQ24" i="4"/>
  <c r="AR24" i="4" s="1"/>
  <c r="AN24" i="4"/>
  <c r="AN27" i="4"/>
  <c r="AO27" i="4" s="1"/>
  <c r="AQ27" i="4"/>
  <c r="AR27" i="4" s="1"/>
  <c r="AQ36" i="4"/>
  <c r="AR36" i="4" s="1"/>
  <c r="AN36" i="4"/>
  <c r="AO36" i="4" s="1"/>
  <c r="AQ30" i="4"/>
  <c r="AR30" i="4" s="1"/>
  <c r="AN30" i="4"/>
  <c r="AO30" i="4" s="1"/>
  <c r="AN33" i="4"/>
  <c r="AO33" i="4" s="1"/>
  <c r="AQ33" i="4"/>
  <c r="AR33" i="4" s="1"/>
  <c r="AN35" i="4"/>
  <c r="AO35" i="4" s="1"/>
  <c r="AQ35" i="4"/>
  <c r="AR35" i="4" s="1"/>
  <c r="AN26" i="4"/>
  <c r="AO26" i="4" s="1"/>
  <c r="AQ26" i="4"/>
  <c r="AR26" i="4" s="1"/>
  <c r="AN32" i="4"/>
  <c r="AO32" i="4" s="1"/>
  <c r="AQ32" i="4"/>
  <c r="AR32" i="4" s="1"/>
  <c r="AQ34" i="4"/>
  <c r="AR34" i="4" s="1"/>
  <c r="AN34" i="4"/>
  <c r="AO34" i="4" s="1"/>
  <c r="AN28" i="4"/>
  <c r="AO28" i="4" s="1"/>
  <c r="AQ28" i="4"/>
  <c r="AR28" i="4" s="1"/>
  <c r="AN25" i="4"/>
  <c r="AO25" i="4" s="1"/>
  <c r="AQ25" i="4"/>
  <c r="AR25" i="4" s="1"/>
  <c r="AQ29" i="4"/>
  <c r="AR29" i="4" s="1"/>
  <c r="AN29" i="4"/>
  <c r="AO29" i="4" s="1"/>
  <c r="AN31" i="4"/>
  <c r="AO31" i="4" s="1"/>
  <c r="AQ31" i="4"/>
  <c r="AR31" i="4" s="1"/>
  <c r="H128" i="9"/>
  <c r="M54" i="3"/>
  <c r="H127" i="9"/>
  <c r="M56" i="3"/>
  <c r="P47" i="11" l="1"/>
  <c r="P45" i="11"/>
  <c r="Q45" i="11" s="1"/>
  <c r="P44" i="11"/>
  <c r="Q44" i="11" s="1"/>
  <c r="P46" i="11"/>
  <c r="P48" i="11" s="1"/>
  <c r="AO24" i="4"/>
  <c r="AN37" i="4" s="1"/>
  <c r="P12" i="12" s="1"/>
  <c r="AR37" i="4"/>
  <c r="P10" i="12" s="1"/>
  <c r="Q46" i="11" l="1"/>
  <c r="G50" i="12"/>
  <c r="Q47" i="11"/>
  <c r="G52" i="12" s="1"/>
  <c r="G51" i="12" l="1"/>
  <c r="R12" i="11"/>
  <c r="R14" i="11"/>
  <c r="R8" i="11"/>
  <c r="R5" i="11"/>
  <c r="R6" i="11"/>
  <c r="R17" i="11"/>
  <c r="R11" i="11"/>
  <c r="R13" i="11"/>
  <c r="R16" i="11"/>
  <c r="R7" i="11"/>
  <c r="R10" i="11"/>
  <c r="R9" i="11"/>
  <c r="R15" i="11"/>
  <c r="Q48" i="11"/>
  <c r="G53" i="12" s="1"/>
  <c r="P50" i="11"/>
  <c r="Q50" i="11" s="1"/>
  <c r="G49" i="12"/>
  <c r="S9" i="11" l="1"/>
  <c r="D49" i="12" s="1"/>
  <c r="S17" i="11"/>
  <c r="D57" i="12" s="1"/>
  <c r="S11" i="11"/>
  <c r="D51" i="12" s="1"/>
  <c r="S10" i="11"/>
  <c r="D50" i="12" s="1"/>
  <c r="S5" i="11"/>
  <c r="D45" i="12" s="1"/>
  <c r="S16" i="11"/>
  <c r="D56" i="12" s="1"/>
  <c r="S12" i="11"/>
  <c r="D52" i="12" s="1"/>
  <c r="S13" i="11"/>
  <c r="D53" i="12" s="1"/>
  <c r="S14" i="11"/>
  <c r="D54" i="12" s="1"/>
  <c r="S15" i="11"/>
  <c r="D55" i="12" s="1"/>
  <c r="S6" i="11"/>
  <c r="D46" i="12" s="1"/>
  <c r="S7" i="11"/>
  <c r="D47" i="12" s="1"/>
  <c r="S8" i="11"/>
  <c r="D48" i="12" s="1"/>
  <c r="Q56" i="11"/>
  <c r="R56" i="11" s="1"/>
  <c r="C52" i="12"/>
  <c r="C47" i="12"/>
  <c r="C51" i="12"/>
  <c r="C57" i="12"/>
  <c r="C54" i="12"/>
  <c r="R58" i="11"/>
  <c r="S58" i="11" s="1"/>
  <c r="C55" i="12"/>
  <c r="C49" i="12"/>
  <c r="C56" i="12"/>
  <c r="C45" i="12"/>
  <c r="C53" i="12"/>
  <c r="C46" i="12"/>
  <c r="C48" i="12"/>
  <c r="C50" i="12"/>
  <c r="R50" i="11"/>
  <c r="J46" i="1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FINNELL, MARK W</author>
  </authors>
  <commentList>
    <comment ref="B22" authorId="0" shapeId="0" xr:uid="{D1C868FF-E3D1-4E62-8D50-21E84135C643}">
      <text>
        <r>
          <rPr>
            <b/>
            <sz val="9"/>
            <color indexed="81"/>
            <rFont val="Tahoma"/>
            <family val="2"/>
          </rPr>
          <t>Contains helpful notes.</t>
        </r>
      </text>
    </comment>
    <comment ref="B23" authorId="0" shapeId="0" xr:uid="{EA0BA8F1-9ECF-43BB-B29A-8504BB842A10}">
      <text>
        <r>
          <rPr>
            <b/>
            <sz val="9"/>
            <color indexed="81"/>
            <rFont val="Tahoma"/>
            <family val="2"/>
          </rPr>
          <t>Contains helpful notes.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FINNELL, MARK W</author>
  </authors>
  <commentList>
    <comment ref="B13" authorId="0" shapeId="0" xr:uid="{23BD8FEF-74EC-4851-95D5-039D98D9CFC4}">
      <text>
        <r>
          <rPr>
            <b/>
            <sz val="9"/>
            <color indexed="81"/>
            <rFont val="Tahoma"/>
            <family val="2"/>
          </rPr>
          <t>Contains helpful notes.</t>
        </r>
      </text>
    </comment>
    <comment ref="B14" authorId="0" shapeId="0" xr:uid="{9C66110F-1B4C-4433-8188-EA576EAF2A16}">
      <text>
        <r>
          <rPr>
            <b/>
            <sz val="9"/>
            <color indexed="81"/>
            <rFont val="Tahoma"/>
            <family val="2"/>
          </rPr>
          <t>Contains helpful notes.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FINNELL, MARK W</author>
  </authors>
  <commentList>
    <comment ref="G38" authorId="0" shapeId="0" xr:uid="{ADE1D9B0-7D93-4720-9C51-03BD529FAF0F}">
      <text>
        <r>
          <rPr>
            <b/>
            <sz val="9"/>
            <color indexed="81"/>
            <rFont val="Tahoma"/>
            <family val="2"/>
          </rPr>
          <t xml:space="preserve">NOTE: </t>
        </r>
        <r>
          <rPr>
            <sz val="9"/>
            <color indexed="81"/>
            <rFont val="Tahoma"/>
            <family val="2"/>
          </rPr>
          <t>Range for additional cement: 95 - 280 lbs/cy
No input required for Type III cement.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FINNELL, MARK W</author>
  </authors>
  <commentList>
    <comment ref="B12" authorId="0" shapeId="0" xr:uid="{58BF7AC0-D39C-4209-B388-8C441E929C71}">
      <text>
        <r>
          <rPr>
            <b/>
            <sz val="11"/>
            <color indexed="81"/>
            <rFont val="Tahoma"/>
            <family val="2"/>
          </rPr>
          <t xml:space="preserve">NOTE:
</t>
        </r>
        <r>
          <rPr>
            <sz val="11"/>
            <color indexed="81"/>
            <rFont val="Tahoma"/>
            <family val="2"/>
          </rPr>
          <t xml:space="preserve">Please use the following abbreviations when possible:
Buzzi Unicem USA --&gt; Buzzi
Continental Cement Company --&gt; Contin. Cement
LaFarge/Holcim Company --&gt; LaFarge/Holcim
Lehigh Cement Company --&gt; Lehigh Cement
</t>
        </r>
      </text>
    </comment>
    <comment ref="E13" authorId="0" shapeId="0" xr:uid="{920BD907-5A61-4C9C-B443-F4DF23E013F5}">
      <text>
        <r>
          <rPr>
            <b/>
            <sz val="12"/>
            <color indexed="81"/>
            <rFont val="Tahoma"/>
            <family val="2"/>
          </rPr>
          <t xml:space="preserve">NOTE: </t>
        </r>
        <r>
          <rPr>
            <sz val="12"/>
            <color indexed="81"/>
            <rFont val="Tahoma"/>
            <family val="2"/>
          </rPr>
          <t>Cement S.G can be found on the Mill Certification. Use 3.15 if not reported.</t>
        </r>
        <r>
          <rPr>
            <b/>
            <sz val="9"/>
            <color indexed="81"/>
            <rFont val="Tahoma"/>
            <family val="2"/>
          </rPr>
          <t xml:space="preserve">
</t>
        </r>
      </text>
    </comment>
    <comment ref="A24" authorId="0" shapeId="0" xr:uid="{844B07D8-9B42-4C4C-8907-4BFD0A5CF449}">
      <text>
        <r>
          <rPr>
            <b/>
            <u/>
            <sz val="12"/>
            <color indexed="81"/>
            <rFont val="Tahoma"/>
            <family val="2"/>
          </rPr>
          <t>NOTE:</t>
        </r>
        <r>
          <rPr>
            <b/>
            <sz val="9"/>
            <color indexed="81"/>
            <rFont val="Tahoma"/>
            <family val="2"/>
          </rPr>
          <t xml:space="preserve"> </t>
        </r>
        <r>
          <rPr>
            <sz val="12"/>
            <color indexed="81"/>
            <rFont val="Tahoma"/>
            <family val="2"/>
          </rPr>
          <t>It is the responsibility of the user to select the appropriate Concrete Grade and Concrete Class for the project.</t>
        </r>
      </text>
    </comment>
    <comment ref="F45" authorId="0" shapeId="0" xr:uid="{819F4325-7C7A-4DD2-BF9C-CEE86B27ADCF}">
      <text>
        <r>
          <rPr>
            <b/>
            <sz val="12"/>
            <color indexed="81"/>
            <rFont val="Tahoma"/>
            <family val="2"/>
          </rPr>
          <t xml:space="preserve">NOTE: </t>
        </r>
        <r>
          <rPr>
            <sz val="12"/>
            <color indexed="81"/>
            <rFont val="Tahoma"/>
            <family val="2"/>
          </rPr>
          <t>This number can be found in Atwood Systems.
Test prefix is 131.
Only needed for well or surface water sources.</t>
        </r>
      </text>
    </comment>
    <comment ref="D49" authorId="0" shapeId="0" xr:uid="{BC055536-A0A4-4240-8A23-7E29DED0BA65}">
      <text>
        <r>
          <rPr>
            <b/>
            <sz val="12"/>
            <color indexed="81"/>
            <rFont val="Tahoma"/>
            <family val="2"/>
          </rPr>
          <t xml:space="preserve">NOTE: </t>
        </r>
        <r>
          <rPr>
            <sz val="12"/>
            <color indexed="81"/>
            <rFont val="Tahoma"/>
            <family val="2"/>
          </rPr>
          <t>For air entraining admixtures, use AE.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FINNELL, MARK W</author>
  </authors>
  <commentList>
    <comment ref="G54" authorId="0" shapeId="0" xr:uid="{E232BE61-2873-49B0-834E-1D93EA307EED}">
      <text>
        <r>
          <rPr>
            <sz val="12"/>
            <color indexed="81"/>
            <rFont val="Tahoma"/>
            <family val="2"/>
          </rPr>
          <t>The amount needed for workability.</t>
        </r>
      </text>
    </comment>
    <comment ref="G56" authorId="0" shapeId="0" xr:uid="{F6A2C8E2-5CBC-4DA0-A700-3B2B200F6F0F}">
      <text>
        <r>
          <rPr>
            <sz val="12"/>
            <color indexed="81"/>
            <rFont val="Tahoma"/>
            <family val="2"/>
          </rPr>
          <t>The amount needed for cohesion.</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FINNELL, MARK W</author>
  </authors>
  <commentList>
    <comment ref="A38" authorId="0" shapeId="0" xr:uid="{FDA6CC22-A25C-4D6D-8562-EE329ECFC361}">
      <text>
        <r>
          <rPr>
            <b/>
            <sz val="10"/>
            <color indexed="81"/>
            <rFont val="Tahoma"/>
            <family val="2"/>
          </rPr>
          <t>THESE PERCENTAGES ARE NOT ROUNDED.</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FINNELL, MARK W</author>
  </authors>
  <commentList>
    <comment ref="D12" authorId="0" shapeId="0" xr:uid="{CB97775B-E40E-49D8-AF54-CE286619F4A5}">
      <text>
        <r>
          <rPr>
            <sz val="12"/>
            <color indexed="81"/>
            <rFont val="Tahoma"/>
            <family val="2"/>
          </rPr>
          <t>Input a guess total aggregate weight: 2700 - 3500 lbs.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tc={8DC8BEB8-DE99-4CE3-90ED-107E1FCC9DEB}</author>
    <author>tc={B7743659-4CDC-4672-BE9C-CF320EC20EF0}</author>
  </authors>
  <commentList>
    <comment ref="I17" authorId="0" shapeId="0" xr:uid="{8DC8BEB8-DE99-4CE3-90ED-107E1FCC9DEB}">
      <text>
        <t>[Threaded comment]
Your version of Excel allows you to read this threaded comment; however, any edits to it will get removed if the file is opened in a newer version of Excel. Learn more: https://go.microsoft.com/fwlink/?linkid=870924
Comment:
    P200 Requirement.</t>
      </text>
    </comment>
    <comment ref="O17" authorId="1" shapeId="0" xr:uid="{B7743659-4CDC-4672-BE9C-CF320EC20EF0}">
      <text>
        <t>[Threaded comment]
Your version of Excel allows you to read this threaded comment; however, any edits to it will get removed if the file is opened in a newer version of Excel. Learn more: https://go.microsoft.com/fwlink/?linkid=870924
Comment:
    P200 Requirement.</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<sst xmlns="http://schemas.openxmlformats.org/spreadsheetml/2006/main" count="1698" uniqueCount="738">
  <si>
    <t>Computation cells are locked</t>
  </si>
  <si>
    <t>Solver</t>
  </si>
  <si>
    <t xml:space="preserve"> </t>
  </si>
  <si>
    <t>GENERAL INSTRUCTIONS PRIOR TO USING THIS SPREADSHEET</t>
  </si>
  <si>
    <t>1)</t>
  </si>
  <si>
    <t>Upon downloading and opening the spreadsheet select Enable Editing if you get a protected view warning.</t>
  </si>
  <si>
    <t>2)</t>
  </si>
  <si>
    <t>3)</t>
  </si>
  <si>
    <t>Save the spreadsheet on your local computer.</t>
  </si>
  <si>
    <t>4)</t>
  </si>
  <si>
    <t>Close the spreadsheet</t>
  </si>
  <si>
    <t>5)</t>
  </si>
  <si>
    <t>Reopen the saved spreadsheet.</t>
  </si>
  <si>
    <t>Date</t>
  </si>
  <si>
    <t>Project Information</t>
  </si>
  <si>
    <t>Construction Project ID</t>
  </si>
  <si>
    <t>Contract ID</t>
  </si>
  <si>
    <t>Highway</t>
  </si>
  <si>
    <t>County</t>
  </si>
  <si>
    <t>Project Title</t>
  </si>
  <si>
    <t>Project Limits</t>
  </si>
  <si>
    <t>Prime Contractor</t>
  </si>
  <si>
    <t>Subcontractor (if applicable)</t>
  </si>
  <si>
    <t>Type</t>
  </si>
  <si>
    <t>Description</t>
  </si>
  <si>
    <t>S.G. (OD)</t>
  </si>
  <si>
    <t>S.G. (SSD)</t>
  </si>
  <si>
    <t>SIEVE ANALYSIS DATA</t>
  </si>
  <si>
    <t>Coarse</t>
  </si>
  <si>
    <t>Fine</t>
  </si>
  <si>
    <t>Sieve:</t>
  </si>
  <si>
    <t>% Pass</t>
  </si>
  <si>
    <t>%</t>
  </si>
  <si>
    <t>2"</t>
  </si>
  <si>
    <t>1 1/2"</t>
  </si>
  <si>
    <t>1"</t>
  </si>
  <si>
    <t>3/4"</t>
  </si>
  <si>
    <t>1/2"</t>
  </si>
  <si>
    <t>3/8"</t>
  </si>
  <si>
    <t># 4</t>
  </si>
  <si>
    <t># 8</t>
  </si>
  <si>
    <t># 16</t>
  </si>
  <si>
    <t># 30</t>
  </si>
  <si>
    <t># 50</t>
  </si>
  <si>
    <t># 100</t>
  </si>
  <si>
    <t># 200</t>
  </si>
  <si>
    <t>Sieves Retained on</t>
  </si>
  <si>
    <t>Limit</t>
  </si>
  <si>
    <t>Mix Retained (%)</t>
  </si>
  <si>
    <t>Results</t>
  </si>
  <si>
    <t>#30 - #200</t>
  </si>
  <si>
    <t>#8, #16, and #30</t>
  </si>
  <si>
    <t>&gt;15%</t>
  </si>
  <si>
    <t>TARANTULA RESULTS</t>
  </si>
  <si>
    <t>Sieve Size</t>
  </si>
  <si>
    <t>Spec Defined % Retained</t>
  </si>
  <si>
    <t>Proposed Retained Volumetric</t>
  </si>
  <si>
    <t>≤5</t>
  </si>
  <si>
    <t>≤16</t>
  </si>
  <si>
    <t>≤20</t>
  </si>
  <si>
    <t xml:space="preserve"> 4-20</t>
  </si>
  <si>
    <t>≤12</t>
  </si>
  <si>
    <t>≤10</t>
  </si>
  <si>
    <t>Manufacturer</t>
  </si>
  <si>
    <t>Source</t>
  </si>
  <si>
    <t>Type/Class/Grade:</t>
  </si>
  <si>
    <t>Specific Gravity (S.G.)</t>
  </si>
  <si>
    <t>Cement</t>
  </si>
  <si>
    <t>Fly Ash</t>
  </si>
  <si>
    <t xml:space="preserve">Slag </t>
  </si>
  <si>
    <t>w/cm</t>
  </si>
  <si>
    <t>Air %</t>
  </si>
  <si>
    <t>Slag</t>
  </si>
  <si>
    <t>WATER</t>
  </si>
  <si>
    <t>Gal</t>
  </si>
  <si>
    <t>Water</t>
  </si>
  <si>
    <t>ADMIXTURE</t>
  </si>
  <si>
    <t>Name</t>
  </si>
  <si>
    <t>MIXTURE PROPORTIONS</t>
  </si>
  <si>
    <t>Material</t>
  </si>
  <si>
    <t>TOTAL</t>
  </si>
  <si>
    <t>Cementitious</t>
  </si>
  <si>
    <t>vp/vv</t>
  </si>
  <si>
    <t>Power 45  Optimize</t>
  </si>
  <si>
    <t>Intermediate</t>
  </si>
  <si>
    <t>Total</t>
  </si>
  <si>
    <t>Ideal</t>
  </si>
  <si>
    <t>Least difference</t>
  </si>
  <si>
    <t>mm</t>
  </si>
  <si>
    <t>^45</t>
  </si>
  <si>
    <t>Mixture</t>
  </si>
  <si>
    <t>Haystack Limits</t>
  </si>
  <si>
    <t>C33</t>
  </si>
  <si>
    <t>Pumping curve</t>
  </si>
  <si>
    <t>Illinois Tollway</t>
  </si>
  <si>
    <t>Tick marks</t>
  </si>
  <si>
    <t>Tarantula</t>
  </si>
  <si>
    <t>Lower</t>
  </si>
  <si>
    <t>Upper</t>
  </si>
  <si>
    <t>3"</t>
  </si>
  <si>
    <t>1-1/2"</t>
  </si>
  <si>
    <t>Shilstone zones</t>
  </si>
  <si>
    <t>line 1</t>
  </si>
  <si>
    <t>line 2</t>
  </si>
  <si>
    <t>line 3</t>
  </si>
  <si>
    <t>line 4</t>
  </si>
  <si>
    <t>^45 lines</t>
  </si>
  <si>
    <t>Max size</t>
  </si>
  <si>
    <t>Max agg size</t>
  </si>
  <si>
    <t>Mix Type:</t>
  </si>
  <si>
    <t>Maximum Nominal Aggregate Size:</t>
  </si>
  <si>
    <t>Unit Weight By :</t>
  </si>
  <si>
    <t>Rodding</t>
  </si>
  <si>
    <t>Moisture Condition at Time of Test:</t>
  </si>
  <si>
    <t>Oven Dry</t>
  </si>
  <si>
    <t>Wt. of Sample and Container, lbs (A)</t>
  </si>
  <si>
    <t>Weight of Sample, lbs (A-B)</t>
  </si>
  <si>
    <t>Container Volume, cf (C)</t>
  </si>
  <si>
    <t>Avg.</t>
  </si>
  <si>
    <t>Dry Rodded Unit Weight, pcf (D)</t>
  </si>
  <si>
    <t>Avg. Agg. Bulk Specific Gravity (E)</t>
  </si>
  <si>
    <t>Void Content (%)</t>
  </si>
  <si>
    <t>Dry Rodded Unit Weight (D) =</t>
  </si>
  <si>
    <t>A-B</t>
  </si>
  <si>
    <t>(nearest 0.1 pcf)</t>
  </si>
  <si>
    <t>C</t>
  </si>
  <si>
    <t>Avg. Aggregate Specific Gravity (E)=</t>
  </si>
  <si>
    <t>=</t>
  </si>
  <si>
    <t>+</t>
  </si>
  <si>
    <t>(ASTM: C128/ AASHTO T85)</t>
  </si>
  <si>
    <t>Where:</t>
  </si>
  <si>
    <t>percentage of each aggregate in the mix</t>
  </si>
  <si>
    <t>appropriate Bulk SG of each aggregate in the mix</t>
  </si>
  <si>
    <t>Avg. Aggregate Specific Gravity (E) =</t>
  </si>
  <si>
    <t>Void Content =</t>
  </si>
  <si>
    <t>100 [(E x 62.3) - D]</t>
  </si>
  <si>
    <t>(nearest 1%)</t>
  </si>
  <si>
    <t>E x 62.3</t>
  </si>
  <si>
    <t>Concrete Mix Information</t>
  </si>
  <si>
    <t>Mix Grade</t>
  </si>
  <si>
    <t>MRS Mix # (132 Prefix)</t>
  </si>
  <si>
    <t>Mix to be used on following bid items:</t>
  </si>
  <si>
    <t>City</t>
  </si>
  <si>
    <t>State</t>
  </si>
  <si>
    <t>Zip Code</t>
  </si>
  <si>
    <t>Address</t>
  </si>
  <si>
    <t>Mix Designer Name (Print)</t>
  </si>
  <si>
    <t>HTCP #</t>
  </si>
  <si>
    <t>Company Name</t>
  </si>
  <si>
    <t>Workability Factor</t>
  </si>
  <si>
    <t>Adjustments</t>
  </si>
  <si>
    <t>Adjusted Workability Factor</t>
  </si>
  <si>
    <t>Shilstone Chart Data</t>
  </si>
  <si>
    <t>Coarseness Factor</t>
  </si>
  <si>
    <t>Wt. Of Unit Weight Container, lbs (B)</t>
  </si>
  <si>
    <t>NOTE:  Must use all 3 to get the correct average and for this spreadsheet to work</t>
  </si>
  <si>
    <t>Dosage (oz/cwt)</t>
  </si>
  <si>
    <t>Absorp (%)</t>
  </si>
  <si>
    <t>Coarse A</t>
  </si>
  <si>
    <t>Coarse B</t>
  </si>
  <si>
    <t>% Retained Volumetric</t>
  </si>
  <si>
    <t>GENERAL INSTRUCTIONS ON ENTERING DATA</t>
  </si>
  <si>
    <t>NOTES</t>
  </si>
  <si>
    <t>Data</t>
  </si>
  <si>
    <t>Data_Charts</t>
  </si>
  <si>
    <t>Various visual data representations of the blended aggregates</t>
  </si>
  <si>
    <t>SAM #</t>
  </si>
  <si>
    <t>during trial batching</t>
  </si>
  <si>
    <t>Box Test Eval.</t>
  </si>
  <si>
    <t>AGGREGATE CORRECTION FACTOR</t>
  </si>
  <si>
    <t>Source Name</t>
  </si>
  <si>
    <t>Test Number</t>
  </si>
  <si>
    <t>Rating # (if using)</t>
  </si>
  <si>
    <t>≤5.0</t>
  </si>
  <si>
    <t>Test #</t>
  </si>
  <si>
    <t>Source ID #</t>
  </si>
  <si>
    <t>Coarse C</t>
  </si>
  <si>
    <t>Fine A</t>
  </si>
  <si>
    <t>Fine B</t>
  </si>
  <si>
    <t>Fineness Modulus of Fine A</t>
  </si>
  <si>
    <t>Fineness Modulus of Fine B</t>
  </si>
  <si>
    <t>Wt.</t>
  </si>
  <si>
    <t>SG (SSD)</t>
  </si>
  <si>
    <t>Volume (ft^3)</t>
  </si>
  <si>
    <t>Vol. % Passing</t>
  </si>
  <si>
    <t>Vol. % Ret.</t>
  </si>
  <si>
    <t>Mass % Retained</t>
  </si>
  <si>
    <t>Cum. Mass % Ret.</t>
  </si>
  <si>
    <t>% Coarse A</t>
  </si>
  <si>
    <t>% Coarse B</t>
  </si>
  <si>
    <t>% Coarse C</t>
  </si>
  <si>
    <t>% Fine A</t>
  </si>
  <si>
    <t>% Fine B</t>
  </si>
  <si>
    <t>% Vol. Tot. Coarse</t>
  </si>
  <si>
    <t>% Vol. Tot. Fine</t>
  </si>
  <si>
    <t>Vol. Calculations</t>
  </si>
  <si>
    <t>Mass Calculations</t>
  </si>
  <si>
    <t>% Mass Tot. Coarse</t>
  </si>
  <si>
    <t>% Mass Tot. Fine</t>
  </si>
  <si>
    <t>DO NOT TOUCH! MODIFICATIONS MADE TO THIS SHEET WILL INVALIDATE THE PROPOSED MIXTURE DESIGN!!!</t>
  </si>
  <si>
    <t>Slip-form: 24%-34%</t>
  </si>
  <si>
    <t>Placement Type</t>
  </si>
  <si>
    <t>Pump</t>
  </si>
  <si>
    <t>Hand Placement</t>
  </si>
  <si>
    <t>Placement Method</t>
  </si>
  <si>
    <t>Slip-form</t>
  </si>
  <si>
    <t>Silica Fume</t>
  </si>
  <si>
    <t>CONCRETE MATERIAL PROPERTIES</t>
  </si>
  <si>
    <t>Other</t>
  </si>
  <si>
    <t>Total SCM Rep.</t>
  </si>
  <si>
    <t>Agg. % Volume</t>
  </si>
  <si>
    <t>TARANTULA RESULTS: FINE AGGREGATE LIMITS (From Table 501-4 in the Standard Specification)</t>
  </si>
  <si>
    <t>Mix % Passing</t>
  </si>
  <si>
    <t>% Passing</t>
  </si>
  <si>
    <t>Cum. % Ret.</t>
  </si>
  <si>
    <t>Combined by Mass %</t>
  </si>
  <si>
    <t>Aggregate Type</t>
  </si>
  <si>
    <t>Vol. % Combined Calcs</t>
  </si>
  <si>
    <t>Drop Down Menu</t>
  </si>
  <si>
    <t>Source Name/Manufacturer</t>
  </si>
  <si>
    <t>AGGREGATE SOURCES AND INFORMATION</t>
  </si>
  <si>
    <t>CEMENTITIOUS MATERIAL INFORMATION</t>
  </si>
  <si>
    <t>Void Content</t>
  </si>
  <si>
    <t>The charts located on this sheet are FOR INFORMATIONAL PURPOSES only!</t>
  </si>
  <si>
    <t>INFORMATIONAL PURPOSES ONLY</t>
  </si>
  <si>
    <t>Vol. of Fine Agg.</t>
  </si>
  <si>
    <t>Vol. of Coarse Agg.</t>
  </si>
  <si>
    <t>Vol. of paste</t>
  </si>
  <si>
    <t>Vol. of aggs</t>
  </si>
  <si>
    <t>Vol. of voids</t>
  </si>
  <si>
    <t>Fine Combined</t>
  </si>
  <si>
    <t>Calculating Comp. FM</t>
  </si>
  <si>
    <t>Composite FA Fineness Modulus</t>
  </si>
  <si>
    <t>Non-slip-formed</t>
  </si>
  <si>
    <t>Pumping, Hand Placement or Other: 24%-40%</t>
  </si>
  <si>
    <t>OTHER INFORMATION (FILL OUT IF 'OTHER' CELL IS FILLED)</t>
  </si>
  <si>
    <t>Material Name</t>
  </si>
  <si>
    <t>Liquid/Powder</t>
  </si>
  <si>
    <t>Material Type (Blended SCM, ASCM)</t>
  </si>
  <si>
    <t>SG</t>
  </si>
  <si>
    <t>CAG (+2 Agg.)</t>
  </si>
  <si>
    <t>LL</t>
  </si>
  <si>
    <t>UL</t>
  </si>
  <si>
    <t>% Mass</t>
  </si>
  <si>
    <t>&gt;1.25</t>
  </si>
  <si>
    <t>Shilstone Chart/Combined Aggregate Gradation</t>
  </si>
  <si>
    <t>lbs.</t>
  </si>
  <si>
    <t>MIXTURE VOLUMETRICS AND WEIGHTS</t>
  </si>
  <si>
    <t>Total Agg. Vol.</t>
  </si>
  <si>
    <t>Total Agg. Wt.</t>
  </si>
  <si>
    <t>lbs./cy</t>
  </si>
  <si>
    <t>Max Nominal Aggregate Size (in.)</t>
  </si>
  <si>
    <t>Project Engineer Name (Print)</t>
  </si>
  <si>
    <t>Fly-Ash</t>
  </si>
  <si>
    <t>Total Cementitious (lbs./cy)</t>
  </si>
  <si>
    <t>Class I: Pavement</t>
  </si>
  <si>
    <t>TYPE OF CONC. CONST.</t>
  </si>
  <si>
    <t>Class I: Barrier</t>
  </si>
  <si>
    <t>Class I: Structure</t>
  </si>
  <si>
    <t>Class II</t>
  </si>
  <si>
    <t>Class III</t>
  </si>
  <si>
    <t>MIN. TOTAL CEMENTITIOUS CONTENT (LBS./CY)</t>
  </si>
  <si>
    <t>501.3.2.3 &amp; 715.2.2 MIXTURE DESIGN REQUIREMENTS</t>
  </si>
  <si>
    <t>SCM REPLACEMENT AMOUNTS</t>
  </si>
  <si>
    <t>% Rep. by Wt. Cem.</t>
  </si>
  <si>
    <t>Mixture Design Req.</t>
  </si>
  <si>
    <t>Concrete Grade</t>
  </si>
  <si>
    <t>Cementitious Content</t>
  </si>
  <si>
    <t>Air Content</t>
  </si>
  <si>
    <t>Voids Content</t>
  </si>
  <si>
    <t>Tarantula Limits</t>
  </si>
  <si>
    <t>ASTM/AASHTO</t>
  </si>
  <si>
    <t>Combined P200: &lt;2.3%</t>
  </si>
  <si>
    <t>P200</t>
  </si>
  <si>
    <t>Coarse Sand</t>
  </si>
  <si>
    <t>Fine Sand</t>
  </si>
  <si>
    <t>Calc</t>
  </si>
  <si>
    <t>Test</t>
  </si>
  <si>
    <t>Result</t>
  </si>
  <si>
    <t>P200 Req.</t>
  </si>
  <si>
    <t>Combined % Passing</t>
  </si>
  <si>
    <t>Comb. % Passing Req.</t>
  </si>
  <si>
    <t>Vol</t>
  </si>
  <si>
    <t>Fly ash</t>
  </si>
  <si>
    <t>Air</t>
  </si>
  <si>
    <t>-</t>
  </si>
  <si>
    <t>Agg.</t>
  </si>
  <si>
    <t>Vol.</t>
  </si>
  <si>
    <t>CA</t>
  </si>
  <si>
    <t>FA</t>
  </si>
  <si>
    <t>% Totals</t>
  </si>
  <si>
    <t>Vol. Voids</t>
  </si>
  <si>
    <t>P200 ≤ 2.3%</t>
  </si>
  <si>
    <r>
      <t>There is an allowable tolerance of +/- .05 ft.</t>
    </r>
    <r>
      <rPr>
        <vertAlign val="superscript"/>
        <sz val="11"/>
        <rFont val="Calibri"/>
        <family val="2"/>
        <scheme val="minor"/>
      </rPr>
      <t>3</t>
    </r>
    <r>
      <rPr>
        <sz val="11"/>
        <rFont val="Calibri"/>
        <family val="2"/>
        <scheme val="minor"/>
      </rPr>
      <t xml:space="preserve"> from the 27.2 ft.</t>
    </r>
    <r>
      <rPr>
        <vertAlign val="superscript"/>
        <sz val="11"/>
        <rFont val="Calibri"/>
        <family val="2"/>
        <scheme val="minor"/>
      </rPr>
      <t>3</t>
    </r>
    <r>
      <rPr>
        <sz val="11"/>
        <rFont val="Calibri"/>
        <family val="2"/>
        <scheme val="minor"/>
      </rPr>
      <t xml:space="preserve"> requirement</t>
    </r>
  </si>
  <si>
    <t>Concrete Paving Company</t>
  </si>
  <si>
    <t>SECTION A - Project Information</t>
  </si>
  <si>
    <t>Construction Project ID(s)</t>
  </si>
  <si>
    <t>Project Engineer / Company</t>
  </si>
  <si>
    <t>SECTION B - Concrete Contractor Information</t>
  </si>
  <si>
    <t>Telephone Number</t>
  </si>
  <si>
    <t>Main Address</t>
  </si>
  <si>
    <t>SECTION C - Concrete Supplier Information</t>
  </si>
  <si>
    <t>Concrete Supplier Company</t>
  </si>
  <si>
    <t>SECTION D - Concrete Mix Information</t>
  </si>
  <si>
    <t>Contractor Mix ID</t>
  </si>
  <si>
    <t>Bid Item No.</t>
  </si>
  <si>
    <t>Concrete Plant Name / Location</t>
  </si>
  <si>
    <t>Plant Type</t>
  </si>
  <si>
    <t>I certify that this mix design meets WisDOT specification requirements. The design is based on the documented material sources, types and proportions documented during the trial batching process and is only valid for these constituents and proportions. Any change in a constituent type or source will require reevaluation of the mix design by a certified mix designer.
**Disclaimer: This mix design is to be used by the parties indicated on this certification for construction purposes. This mix design does not guarantee the results in the field due to the variability of construction operations.</t>
  </si>
  <si>
    <t>Email</t>
  </si>
  <si>
    <t>I certify that I have reviewed the mix design. All the sources listed in this mix design are approved per WisDOT specifications or written approval of the department. I have confirmed the sources in this mix design are accurate with the Contractor's submitted Quality Control Plan. I acknowledge that any source change from this mix design requires reevaluation by a certified mix designer.</t>
  </si>
  <si>
    <t>Signature (Wet or Digital)</t>
  </si>
  <si>
    <t>Wt. Cem</t>
  </si>
  <si>
    <t>ASTM/AASHTO Type (AE,A,B,C,D,..)</t>
  </si>
  <si>
    <t>AGGREGATE INFORMATION</t>
  </si>
  <si>
    <t>Input</t>
  </si>
  <si>
    <t>Aggregate Source Checks</t>
  </si>
  <si>
    <t>Cementitious Material Source Checks</t>
  </si>
  <si>
    <t>Type/Class/Grade</t>
  </si>
  <si>
    <t>Water Source Check</t>
  </si>
  <si>
    <t>CHEMICAL ADMIXTURE INFORMATION</t>
  </si>
  <si>
    <t>Dosage (oz./cwt)</t>
  </si>
  <si>
    <t>Chemical Admixture Checks</t>
  </si>
  <si>
    <t>Dosage</t>
  </si>
  <si>
    <t>Input: % Retained, Vol.</t>
  </si>
  <si>
    <t>Admix</t>
  </si>
  <si>
    <t>AGGREGATE CORRECTION FACTOR (%)</t>
  </si>
  <si>
    <t>Source Id #</t>
  </si>
  <si>
    <t>Concatenated Result</t>
  </si>
  <si>
    <t>Source Name / Source ID</t>
  </si>
  <si>
    <t>Target w/cm</t>
  </si>
  <si>
    <t>TO THE ENGINEER: ONLY SIGN AFTER DISCUSSING THE REASON FOR SCM EXEMPTION</t>
  </si>
  <si>
    <t>1 Certification</t>
  </si>
  <si>
    <t>Inputs ONLY go in cells that are CANARY YELLOW</t>
  </si>
  <si>
    <t>3 Paste Quality</t>
  </si>
  <si>
    <t>Input 27.2 in the 'To:' field in Solver</t>
  </si>
  <si>
    <t>Select the desired cell or cells with the aggregate weight to be changed in the 'By Changing Variable Cells' field in Solver</t>
  </si>
  <si>
    <r>
      <t xml:space="preserve">Signature </t>
    </r>
    <r>
      <rPr>
        <sz val="7"/>
        <rFont val="Calibri"/>
        <family val="2"/>
        <scheme val="minor"/>
      </rPr>
      <t>(Wet or Digital)</t>
    </r>
  </si>
  <si>
    <r>
      <t>SSD Wts. (lbs./yd</t>
    </r>
    <r>
      <rPr>
        <b/>
        <vertAlign val="superscript"/>
        <sz val="10"/>
        <rFont val="Calibri"/>
        <family val="2"/>
        <scheme val="minor"/>
      </rPr>
      <t>3</t>
    </r>
    <r>
      <rPr>
        <b/>
        <sz val="10"/>
        <rFont val="Calibri"/>
        <family val="2"/>
        <scheme val="minor"/>
      </rPr>
      <t>)</t>
    </r>
  </si>
  <si>
    <r>
      <t>Volume (ft</t>
    </r>
    <r>
      <rPr>
        <b/>
        <vertAlign val="superscript"/>
        <sz val="10"/>
        <color theme="1"/>
        <rFont val="Calibri"/>
        <family val="2"/>
        <scheme val="minor"/>
      </rPr>
      <t>3</t>
    </r>
    <r>
      <rPr>
        <b/>
        <sz val="10"/>
        <color theme="1"/>
        <rFont val="Calibri"/>
        <family val="2"/>
        <scheme val="minor"/>
      </rPr>
      <t>)</t>
    </r>
  </si>
  <si>
    <r>
      <t>Tot. Vol. (ft</t>
    </r>
    <r>
      <rPr>
        <b/>
        <vertAlign val="superscript"/>
        <sz val="10"/>
        <color theme="1"/>
        <rFont val="Calibri"/>
        <family val="2"/>
        <scheme val="minor"/>
      </rPr>
      <t>3</t>
    </r>
    <r>
      <rPr>
        <b/>
        <sz val="10"/>
        <color theme="1"/>
        <rFont val="Calibri"/>
        <family val="2"/>
        <scheme val="minor"/>
      </rPr>
      <t>)</t>
    </r>
  </si>
  <si>
    <r>
      <t xml:space="preserve">= </t>
    </r>
    <r>
      <rPr>
        <sz val="12"/>
        <rFont val="Calibri"/>
        <family val="2"/>
      </rPr>
      <t>from Voids WS</t>
    </r>
  </si>
  <si>
    <r>
      <t>SSD Weight (lbs./yd</t>
    </r>
    <r>
      <rPr>
        <vertAlign val="superscript"/>
        <sz val="12"/>
        <rFont val="Calibri"/>
        <family val="2"/>
      </rPr>
      <t>3</t>
    </r>
    <r>
      <rPr>
        <sz val="12"/>
        <rFont val="Calibri"/>
        <family val="2"/>
      </rPr>
      <t>)</t>
    </r>
  </si>
  <si>
    <r>
      <t>Abs. Volume (ft</t>
    </r>
    <r>
      <rPr>
        <vertAlign val="superscript"/>
        <sz val="12"/>
        <rFont val="Calibri"/>
        <family val="2"/>
      </rPr>
      <t>3</t>
    </r>
    <r>
      <rPr>
        <sz val="12"/>
        <rFont val="Calibri"/>
        <family val="2"/>
      </rPr>
      <t>)</t>
    </r>
  </si>
  <si>
    <r>
      <t>ft</t>
    </r>
    <r>
      <rPr>
        <vertAlign val="superscript"/>
        <sz val="12"/>
        <rFont val="Calibri"/>
        <family val="2"/>
      </rPr>
      <t>3</t>
    </r>
  </si>
  <si>
    <r>
      <t xml:space="preserve">UNIT WEIGHT/VOIDS IN AGGREGATE - </t>
    </r>
    <r>
      <rPr>
        <sz val="10"/>
        <rFont val="Calibri"/>
        <family val="2"/>
        <scheme val="minor"/>
      </rPr>
      <t>AASHTO T19/ ASTM: C29</t>
    </r>
  </si>
  <si>
    <r>
      <t>P</t>
    </r>
    <r>
      <rPr>
        <vertAlign val="subscript"/>
        <sz val="12"/>
        <rFont val="Calibri"/>
        <family val="2"/>
        <scheme val="minor"/>
      </rPr>
      <t>CA-A</t>
    </r>
  </si>
  <si>
    <r>
      <t>P</t>
    </r>
    <r>
      <rPr>
        <vertAlign val="subscript"/>
        <sz val="12"/>
        <rFont val="Calibri"/>
        <family val="2"/>
        <scheme val="minor"/>
      </rPr>
      <t>CA-B</t>
    </r>
  </si>
  <si>
    <r>
      <t>P</t>
    </r>
    <r>
      <rPr>
        <vertAlign val="subscript"/>
        <sz val="12"/>
        <rFont val="Calibri"/>
        <family val="2"/>
        <scheme val="minor"/>
      </rPr>
      <t>CA-C</t>
    </r>
  </si>
  <si>
    <r>
      <t>P</t>
    </r>
    <r>
      <rPr>
        <vertAlign val="subscript"/>
        <sz val="12"/>
        <rFont val="Calibri"/>
        <family val="2"/>
        <scheme val="minor"/>
      </rPr>
      <t>FA-A</t>
    </r>
  </si>
  <si>
    <r>
      <t>P</t>
    </r>
    <r>
      <rPr>
        <i/>
        <vertAlign val="subscript"/>
        <sz val="12"/>
        <rFont val="Calibri"/>
        <family val="2"/>
        <scheme val="minor"/>
      </rPr>
      <t>n</t>
    </r>
  </si>
  <si>
    <r>
      <t>P</t>
    </r>
    <r>
      <rPr>
        <vertAlign val="subscript"/>
        <sz val="12"/>
        <rFont val="Calibri"/>
        <family val="2"/>
        <scheme val="minor"/>
      </rPr>
      <t>FA-B</t>
    </r>
  </si>
  <si>
    <r>
      <t>100G</t>
    </r>
    <r>
      <rPr>
        <vertAlign val="subscript"/>
        <sz val="12"/>
        <rFont val="Calibri"/>
        <family val="2"/>
        <scheme val="minor"/>
      </rPr>
      <t>CA-A</t>
    </r>
  </si>
  <si>
    <r>
      <t>100G</t>
    </r>
    <r>
      <rPr>
        <vertAlign val="subscript"/>
        <sz val="12"/>
        <rFont val="Calibri"/>
        <family val="2"/>
        <scheme val="minor"/>
      </rPr>
      <t>FA-A</t>
    </r>
  </si>
  <si>
    <r>
      <t>100G</t>
    </r>
    <r>
      <rPr>
        <i/>
        <vertAlign val="subscript"/>
        <sz val="12"/>
        <rFont val="Calibri"/>
        <family val="2"/>
        <scheme val="minor"/>
      </rPr>
      <t>n</t>
    </r>
  </si>
  <si>
    <r>
      <t>G</t>
    </r>
    <r>
      <rPr>
        <vertAlign val="subscript"/>
        <sz val="12"/>
        <rFont val="Calibri"/>
        <family val="2"/>
        <scheme val="minor"/>
      </rPr>
      <t>CA-A</t>
    </r>
  </si>
  <si>
    <r>
      <t>G</t>
    </r>
    <r>
      <rPr>
        <vertAlign val="subscript"/>
        <sz val="12"/>
        <rFont val="Calibri"/>
        <family val="2"/>
        <scheme val="minor"/>
      </rPr>
      <t>CA-B</t>
    </r>
  </si>
  <si>
    <r>
      <t>G</t>
    </r>
    <r>
      <rPr>
        <vertAlign val="subscript"/>
        <sz val="12"/>
        <rFont val="Calibri"/>
        <family val="2"/>
        <scheme val="minor"/>
      </rPr>
      <t>CA-C</t>
    </r>
  </si>
  <si>
    <r>
      <t>G</t>
    </r>
    <r>
      <rPr>
        <vertAlign val="subscript"/>
        <sz val="12"/>
        <rFont val="Calibri"/>
        <family val="2"/>
        <scheme val="minor"/>
      </rPr>
      <t>FA-A</t>
    </r>
  </si>
  <si>
    <r>
      <t>G</t>
    </r>
    <r>
      <rPr>
        <vertAlign val="subscript"/>
        <sz val="12"/>
        <rFont val="Calibri"/>
        <family val="2"/>
        <scheme val="minor"/>
      </rPr>
      <t>FA-B</t>
    </r>
  </si>
  <si>
    <t>→</t>
  </si>
  <si>
    <t>Target Volume of Air (%)</t>
  </si>
  <si>
    <t>Target Air Content (%)</t>
  </si>
  <si>
    <t>Water (Gallons)</t>
  </si>
  <si>
    <t xml:space="preserve">CONCRETE MIXTURE DESIGN - OPTIMIZED AGGREGATE GRADATION              </t>
  </si>
  <si>
    <t>Wisconsin Department of Transportation</t>
  </si>
  <si>
    <t>Box Test</t>
  </si>
  <si>
    <t>SAM Number</t>
  </si>
  <si>
    <t>WisDOT STAFF ONLY: A Regional Materials Engineer is the only signature allowed in the signature field. Digital and/or physical.</t>
  </si>
  <si>
    <t>Any signature other than the WisDOT Regional Materials Engineer will void the proposed mixture design.</t>
  </si>
  <si>
    <t>The purpose of this section is to cover SCMs that are NOT fly-ash, slag or silica fume.</t>
  </si>
  <si>
    <t>If the placement method is not selected from the drop down menu, an error message will be present in the Fine Aggregate Limits Section.</t>
  </si>
  <si>
    <t>This form must filled out using a computer. Signatures do not have to be filled out digitally.</t>
  </si>
  <si>
    <t>2 Aggregate System</t>
  </si>
  <si>
    <t>Design Date:</t>
  </si>
  <si>
    <t>Text may be cut off due to difference in computer graphics or versions of Excel.</t>
  </si>
  <si>
    <t>It is best to use Excel 2016 or newer.</t>
  </si>
  <si>
    <t>CONCRETE MIXTURE DESIGN - OPTIMIZED AGGREGATE GRADATION</t>
  </si>
  <si>
    <t xml:space="preserve">CONCRETE MIXTURE DESIGN - OPTIMIZED AGGREGATE GRADATION                                            </t>
  </si>
  <si>
    <t xml:space="preserve">CONCRETE MIXTURE DESIGN - OPTIMIZED AGGREGATE GRADATION            </t>
  </si>
  <si>
    <t>Tarantula Fit</t>
  </si>
  <si>
    <t>High</t>
  </si>
  <si>
    <t>Low</t>
  </si>
  <si>
    <t>Middle</t>
  </si>
  <si>
    <t>Error</t>
  </si>
  <si>
    <t>Error^2</t>
  </si>
  <si>
    <t>Sum of Error^2</t>
  </si>
  <si>
    <t>Sum of Taran. Error^2</t>
  </si>
  <si>
    <t>Limit (%)</t>
  </si>
  <si>
    <t>Fine Aggregate Tests for '4 Mix Design'</t>
  </si>
  <si>
    <t>Fine Aggregate Tests for 'Opt. Tool'</t>
  </si>
  <si>
    <t>4 Mix Design % Vol. and % Mass Calcs</t>
  </si>
  <si>
    <t>Taran. Error</t>
  </si>
  <si>
    <t>% Vol. of Agg.</t>
  </si>
  <si>
    <r>
      <t>Wt. from Opt. Tool (lbs./yd</t>
    </r>
    <r>
      <rPr>
        <vertAlign val="superscript"/>
        <sz val="12"/>
        <color theme="1"/>
        <rFont val="Calibri"/>
        <family val="2"/>
      </rPr>
      <t>3</t>
    </r>
    <r>
      <rPr>
        <sz val="12"/>
        <color theme="1"/>
        <rFont val="Calibri"/>
        <family val="2"/>
      </rPr>
      <t>)</t>
    </r>
  </si>
  <si>
    <t>S.G.</t>
  </si>
  <si>
    <t>Agg. % Wt.</t>
  </si>
  <si>
    <t>Vol. % Pass for Solver on Opt. Tool</t>
  </si>
  <si>
    <t>% Comb.</t>
  </si>
  <si>
    <t>Municipal</t>
  </si>
  <si>
    <t>B</t>
  </si>
  <si>
    <t>Air (%)</t>
  </si>
  <si>
    <t>Total Aggregate Weight (lbs.)</t>
  </si>
  <si>
    <t>Opt. Result</t>
  </si>
  <si>
    <t>Optimize Tool: Tarantula Check</t>
  </si>
  <si>
    <t>Sheet 4 Result</t>
  </si>
  <si>
    <t>% Wt.</t>
  </si>
  <si>
    <t>Optimize Tool: Mixture Volumetrics</t>
  </si>
  <si>
    <t>S.G. Errors</t>
  </si>
  <si>
    <t>3 Paste Quality Checks</t>
  </si>
  <si>
    <t>Water Test</t>
  </si>
  <si>
    <t>Well</t>
  </si>
  <si>
    <t>Surface</t>
  </si>
  <si>
    <t>SCM Checks</t>
  </si>
  <si>
    <t>Rep. (%)</t>
  </si>
  <si>
    <t>SCM Limit</t>
  </si>
  <si>
    <t>Wt. of SCM</t>
  </si>
  <si>
    <t>Total Rep.</t>
  </si>
  <si>
    <t>Tot. Vol. Agg.</t>
  </si>
  <si>
    <r>
      <t>ft</t>
    </r>
    <r>
      <rPr>
        <vertAlign val="superscript"/>
        <sz val="12"/>
        <color theme="1"/>
        <rFont val="Calibri"/>
        <family val="2"/>
      </rPr>
      <t>3</t>
    </r>
  </si>
  <si>
    <t>Vol. of CA</t>
  </si>
  <si>
    <t>Vol. of FA</t>
  </si>
  <si>
    <t>Vol. of Cemtit.</t>
  </si>
  <si>
    <t>% Vol. of CA</t>
  </si>
  <si>
    <t>% Vol. of FA</t>
  </si>
  <si>
    <t>% Vol. of Paste</t>
  </si>
  <si>
    <t>% Vol. of Voids</t>
  </si>
  <si>
    <t>vp/vv (&gt;1.25)</t>
  </si>
  <si>
    <t>MIXTURE VOLUMETRICS</t>
  </si>
  <si>
    <t>Optimize Tool: Mixture Proportions</t>
  </si>
  <si>
    <t>4 Mix Design: Mixture Proportions</t>
  </si>
  <si>
    <t>4 Mix Design: Tarantula Check</t>
  </si>
  <si>
    <t>4 Mix Design: Mixture Volumetrics</t>
  </si>
  <si>
    <t>The specific gravity (S.G.) of the aggregate needs to be the Oven Dry (OD) S.G.</t>
  </si>
  <si>
    <r>
      <t>P</t>
    </r>
    <r>
      <rPr>
        <vertAlign val="subscript"/>
        <sz val="12"/>
        <rFont val="Calibri"/>
        <family val="2"/>
        <scheme val="minor"/>
      </rPr>
      <t>CA-A</t>
    </r>
    <r>
      <rPr>
        <sz val="12"/>
        <rFont val="Calibri"/>
        <family val="2"/>
        <scheme val="minor"/>
      </rPr>
      <t>, P</t>
    </r>
    <r>
      <rPr>
        <vertAlign val="subscript"/>
        <sz val="12"/>
        <rFont val="Calibri"/>
        <family val="2"/>
        <scheme val="minor"/>
      </rPr>
      <t>CA-B</t>
    </r>
    <r>
      <rPr>
        <sz val="12"/>
        <rFont val="Calibri"/>
        <family val="2"/>
        <scheme val="minor"/>
      </rPr>
      <t>, . . .P</t>
    </r>
    <r>
      <rPr>
        <i/>
        <vertAlign val="subscript"/>
        <sz val="12"/>
        <rFont val="Calibri"/>
        <family val="2"/>
        <scheme val="minor"/>
      </rPr>
      <t>n</t>
    </r>
    <r>
      <rPr>
        <sz val="12"/>
        <rFont val="Calibri"/>
        <family val="2"/>
        <scheme val="minor"/>
      </rPr>
      <t xml:space="preserve"> =</t>
    </r>
  </si>
  <si>
    <r>
      <t>G</t>
    </r>
    <r>
      <rPr>
        <vertAlign val="subscript"/>
        <sz val="12"/>
        <rFont val="Calibri"/>
        <family val="2"/>
        <scheme val="minor"/>
      </rPr>
      <t>CA-A</t>
    </r>
    <r>
      <rPr>
        <sz val="12"/>
        <rFont val="Calibri"/>
        <family val="2"/>
        <scheme val="minor"/>
      </rPr>
      <t>, G</t>
    </r>
    <r>
      <rPr>
        <vertAlign val="subscript"/>
        <sz val="12"/>
        <rFont val="Calibri"/>
        <family val="2"/>
        <scheme val="minor"/>
      </rPr>
      <t>CA-B</t>
    </r>
    <r>
      <rPr>
        <sz val="12"/>
        <rFont val="Calibri"/>
        <family val="2"/>
        <scheme val="minor"/>
      </rPr>
      <t>, . . .G</t>
    </r>
    <r>
      <rPr>
        <i/>
        <vertAlign val="subscript"/>
        <sz val="12"/>
        <rFont val="Calibri"/>
        <family val="2"/>
        <scheme val="minor"/>
      </rPr>
      <t>n</t>
    </r>
    <r>
      <rPr>
        <sz val="12"/>
        <rFont val="Calibri"/>
        <family val="2"/>
        <scheme val="minor"/>
      </rPr>
      <t xml:space="preserve"> =</t>
    </r>
  </si>
  <si>
    <t>Tot. Vol Limit</t>
  </si>
  <si>
    <t>Abs. Vol Limit</t>
  </si>
  <si>
    <t>P200 Limit</t>
  </si>
  <si>
    <t>FA Upper Limit</t>
  </si>
  <si>
    <t>FA Lower Limit</t>
  </si>
  <si>
    <t>Sum of Agg. % Wt.</t>
  </si>
  <si>
    <t>X</t>
  </si>
  <si>
    <t>See 501.2.4.2.4 for restrictions on silica fume.</t>
  </si>
  <si>
    <t>These include a variety of ASCMs or blended SCMs that may be allowed under the active Standard Specification.</t>
  </si>
  <si>
    <t>Source Type</t>
  </si>
  <si>
    <t>HES Check</t>
  </si>
  <si>
    <t>CONCRETE GRADE</t>
  </si>
  <si>
    <t>A</t>
  </si>
  <si>
    <t>E</t>
  </si>
  <si>
    <t>HES Checks</t>
  </si>
  <si>
    <t>Type III Cement</t>
  </si>
  <si>
    <t>Additional Cement</t>
  </si>
  <si>
    <t>MAX. DESIGN W/CM</t>
  </si>
  <si>
    <t>HES MODIFICATIONS</t>
  </si>
  <si>
    <t>Option Selected</t>
  </si>
  <si>
    <t>Concrete Class</t>
  </si>
  <si>
    <t>4 Mix Design</t>
  </si>
  <si>
    <t>to print to a PDF are covered here.</t>
  </si>
  <si>
    <t>General</t>
  </si>
  <si>
    <t>The DT2221 Form needs to be submitted in a digital format per 710.4 (2). No other format will be accepted.</t>
  </si>
  <si>
    <t>Optimize Tool</t>
  </si>
  <si>
    <t>Directions</t>
  </si>
  <si>
    <t>Printing Directions</t>
  </si>
  <si>
    <t>5 Unit Wt_Voids in Agg</t>
  </si>
  <si>
    <t>Printing Instructions: Which Sheets to Print for Concrete Mixture Design Submittal (DT2221)</t>
  </si>
  <si>
    <t>2: Save the Excel File before printing.</t>
  </si>
  <si>
    <t>3: Click on the '1 Certification' workbook.</t>
  </si>
  <si>
    <t>4: Hold down the Control (CTRL) key or Shift key and select the following workbooks with your mouse:</t>
  </si>
  <si>
    <t>It is best to use the Control key to select the multiple workbooks</t>
  </si>
  <si>
    <t>Various print PDF options: Microsoft Print to PDF, Adobe PDF, Bluebeam PDF</t>
  </si>
  <si>
    <t>7: Check the Print Preview to make sure all of the required workbooks are present.</t>
  </si>
  <si>
    <t>PEM TESTS</t>
  </si>
  <si>
    <t>CEMENTITIOUS MATERIALS INFORMATION</t>
  </si>
  <si>
    <t>WATER SOURCE INFORMATION</t>
  </si>
  <si>
    <t>Printing Instructions: How to Print to PDF - OPTION 1</t>
  </si>
  <si>
    <t>Printing Instructions: How to Print to PDF - OPTION 2</t>
  </si>
  <si>
    <t>6 Agg Analysis</t>
  </si>
  <si>
    <t>7 Calculation Check</t>
  </si>
  <si>
    <t>Grade E</t>
  </si>
  <si>
    <t>Grade B</t>
  </si>
  <si>
    <t>Min. Cement</t>
  </si>
  <si>
    <t>To the mix designer: Provide brief description for SCM exemption (325 character limit)</t>
  </si>
  <si>
    <t>5: Go to 'File' in the upper left corner of the Excel window and select 'Save As'</t>
  </si>
  <si>
    <t>6: Select the appropriate PDF option in the Printer select drop down menu.</t>
  </si>
  <si>
    <t>5: Go to 'File' in the upper left corner of the Excel window and select 'Print'</t>
  </si>
  <si>
    <t>6: Press the drop down menu where it says '.xlsx'. Search the menu and select '*.pdf'</t>
  </si>
  <si>
    <t>7: Press 'Save' and save it in a folder on your computer.</t>
  </si>
  <si>
    <t>If one workbook is missing, back out of the Print Preview screen and hold the Control (CTRL) key down and select the missing workbook.</t>
  </si>
  <si>
    <t>1: Check all required sheets for errors. Any error discovered on the form will result in a need for correction and resubmittal.</t>
  </si>
  <si>
    <t>HES Contractor Mix ID</t>
  </si>
  <si>
    <t>HES MRS Mix # (132 Prefix)</t>
  </si>
  <si>
    <t>HES MRS Mix #</t>
  </si>
  <si>
    <t>Contact BTS - Concrete Unit prior to using if the project must follow the High Performance Concrete (HPC) specifications.</t>
  </si>
  <si>
    <t xml:space="preserve">5 Unit Wt_Voids in Agg </t>
  </si>
  <si>
    <t>1. This form can be filled out and submitted to WisDOT for your project</t>
  </si>
  <si>
    <t>2. This certification sheet is required to be submitted for all WisDOT Mixture Designs</t>
  </si>
  <si>
    <t>3. Ensure Worksheets 2-4 are complete and are error free</t>
  </si>
  <si>
    <t>1. Enter the desired aggregate information listed: Source Name, Source ID, Test #, SG, Absorption, etc.</t>
  </si>
  <si>
    <t>6. Enter the percentages of Supplementary Cementitious Materials (SCMs): Fly-ash, Slag, Silica Fume, etc.</t>
  </si>
  <si>
    <t>aggregates.</t>
  </si>
  <si>
    <t>Set Objective to the TOTAL ABS. VOLUME cell: G26</t>
  </si>
  <si>
    <t>Coarse A (CA-A)</t>
  </si>
  <si>
    <t>Coarse B (CA-B)</t>
  </si>
  <si>
    <t>Coarse C (CA-C)</t>
  </si>
  <si>
    <t>Fine A (FA-A)</t>
  </si>
  <si>
    <t>Fine B (FA-B)</t>
  </si>
  <si>
    <t>1. Perform the AASHTO T19 before entering any data into this sheet.</t>
  </si>
  <si>
    <t>ALL WEIGHTS MUST BE ENTERED IN POUNDS (lbs.)</t>
  </si>
  <si>
    <t>2. Enter the weights recorded for the Sample and Container fields.</t>
  </si>
  <si>
    <t>3. Enter the weight of the unit weight container.</t>
  </si>
  <si>
    <t>4. Enter the calibrated volume of the unit weight container.</t>
  </si>
  <si>
    <t>5. Use the calculated Void Content in the field found in 3 Paste Quality</t>
  </si>
  <si>
    <t>1. Check 2 Aggregate System and 3 Paste Quality for any errors.</t>
  </si>
  <si>
    <t>Correct data entry: 15.2</t>
  </si>
  <si>
    <t>Incorrect data entry: .152 OR 15.2%</t>
  </si>
  <si>
    <t>2. Input the desired percentage for each aggregate being used.</t>
  </si>
  <si>
    <t>Click on 'Solver' which is located in the 'Analyze' section of the 'Data' ribbon.</t>
  </si>
  <si>
    <t>5. Check the ‘By Changing Variable Cells’ field in Solver to ensure the proper aggregate percentages are selected and the ‘Total Aggregate Weight’ cell is selected.</t>
  </si>
  <si>
    <t xml:space="preserve">and ‘Total Aggregate Weight’ (Cell D12). </t>
  </si>
  <si>
    <t>8. Input the individual aggregate weights into the proper fields found on '4 Mixture Design' worksheet.</t>
  </si>
  <si>
    <t>The charts, other than the Tarantula Curve, serve no contractual purpose and will not be used for any form of acceptance.</t>
  </si>
  <si>
    <t>Write a brief description for the SCM exemption in the field on 1 Certification. Work with WisDOT staff if SCM supplies for the project are a foreseeable issue.</t>
  </si>
  <si>
    <t>HES Concrete Modifications</t>
  </si>
  <si>
    <t>SCM Exemption Field</t>
  </si>
  <si>
    <t>Ensure you provide the Contractor Mix ID number and a new MRS Mix ID (132 prefix).</t>
  </si>
  <si>
    <t>3. Enter the desired TOTAL cementitious content as lbs./cy.</t>
  </si>
  <si>
    <t>6. Press the 'Solve' button at the bottom of the Solver window and wait for a result.</t>
  </si>
  <si>
    <t>7. Check the Tarantula Curve chart below the 'Mixture Proportions' table to see if the Solver result is acceptable. Iteration or manual entry may be necessary.</t>
  </si>
  <si>
    <t>This is not the only way to print to PDF. Third party programs have features where the proper sheets can be selected and printed. Features like this may require</t>
  </si>
  <si>
    <t>a license to use and is beyond WisDOT to provide.</t>
  </si>
  <si>
    <t>9. Enter Water Source information and testing.</t>
  </si>
  <si>
    <t>10. Enter Admixture information.</t>
  </si>
  <si>
    <t>Look up the ASTM C494 Type on the admixture product sheet.</t>
  </si>
  <si>
    <t>For air entrainers, type in AE.</t>
  </si>
  <si>
    <t>5. Enter the target air content of the mixture (Air %) and SAM Number.</t>
  </si>
  <si>
    <t>2. Select from the drop-down menu the Concrete Classification for the maximum w/cm ratio allowed per 715.2.2.</t>
  </si>
  <si>
    <t>If the 'Other' cells are filled out in the 'Cementitious Materials Information' table, fill out the 'Other Information' Table.</t>
  </si>
  <si>
    <t>2. Enter the desired individual aggregate gradations in terms of % Passing.</t>
  </si>
  <si>
    <t>3. Enter the nominal maximum sizes.</t>
  </si>
  <si>
    <t>8. Enter the measured aggregate void results using ASTM C 29.</t>
  </si>
  <si>
    <t>Click 'Data' ribbon at the top of Excel.</t>
  </si>
  <si>
    <t>4. Open Solver in this workbook following these directions:</t>
  </si>
  <si>
    <t>Contains helpful notes</t>
  </si>
  <si>
    <t>NOTE: CAN BE FOUND ON OPTIMIZE TOOL: CELL Q8 (HIDDEN)</t>
  </si>
  <si>
    <t>SINCE CHECK BOX USED, MUST BE ON UNLOCKED WORKBOOK TO WORK</t>
  </si>
  <si>
    <t>Design Date (mm/dd/yyyy)</t>
  </si>
  <si>
    <t>Date (mm/dd/yyyy)</t>
  </si>
  <si>
    <t>SECTION F - Mix Design Certification</t>
  </si>
  <si>
    <t>SECTION G - Project Staff Review</t>
  </si>
  <si>
    <t>WisDOT Regional Materials Engineer Signature for SCM Exemption (Wet or Digital)</t>
  </si>
  <si>
    <t>CONCRETE CLASS</t>
  </si>
  <si>
    <t>TIP: If you have a data entry that is not in the default set up for Solver or need to add an aggregate percentage, clear all</t>
  </si>
  <si>
    <t>of the cell entries and select proper aggregate percentages and the ‘Total Aggregate Weight’ cell.</t>
  </si>
  <si>
    <t>Do this by holding the ‘Control’ (Ctrl) key down and selecting the desired cells.</t>
  </si>
  <si>
    <t>This also can be achieved by placing commas (,) in-between the cells like the following: $D$7, $D$8, $D$10, $D12</t>
  </si>
  <si>
    <t>3. Input a 'guess' Total Aggregate Weight in cell D12. This make Solver come to a solution faster.</t>
  </si>
  <si>
    <t>2. Input the desired SSD aggregate weights for the mixture. Values from the Optimize Tool are displayed if it was used to proportion mixture.</t>
  </si>
  <si>
    <t>To modify the default cells, clear the 'By Changing Variable Cells' field. Hold the control (CTRL) key down and click the desired cells.</t>
  </si>
  <si>
    <t>The proportion input cells are D14 - D18. The default cells are D14 (Coarse A), D15 (Coarse B) and D17 (Fine A).</t>
  </si>
  <si>
    <t>The same can be achieved using commas separating the cells. Example: $D$14, $D$15, $D$17</t>
  </si>
  <si>
    <t>Press solve to get a result.</t>
  </si>
  <si>
    <t>Analyze</t>
  </si>
  <si>
    <t>4. Input the desired SSD aggregate weights for the mixture. Values from the Optimize Tool are displayed if it was used to proportion mixture.</t>
  </si>
  <si>
    <t>6. Open Solver via the following path:</t>
  </si>
  <si>
    <t xml:space="preserve">7. Solve for your mix.  </t>
  </si>
  <si>
    <t>8. Check to ensure the mixture design is within the Tarantula Curve Limits</t>
  </si>
  <si>
    <r>
      <t>9. Check to ensure the TOTAL ABS. VOLUME equals 27.20 ft.</t>
    </r>
    <r>
      <rPr>
        <vertAlign val="superscript"/>
        <sz val="11"/>
        <rFont val="Calibri"/>
        <family val="2"/>
        <scheme val="minor"/>
      </rPr>
      <t>3</t>
    </r>
    <r>
      <rPr>
        <sz val="11"/>
        <rFont val="Calibri"/>
        <family val="2"/>
        <scheme val="minor"/>
      </rPr>
      <t xml:space="preserve"> using standard rounding rules (Cell G26)</t>
    </r>
  </si>
  <si>
    <t>10. Check the volume of paste/volume of voids (vp/vv) ratio so it is above 1.25.</t>
  </si>
  <si>
    <t xml:space="preserve">11. Check the fine aggregate limits and make sure the desired placement method is selected. </t>
  </si>
  <si>
    <t>1. Ensure 3 Paste Quality Sheet is completely filled and error free. An error message will be displayed in key cells if there are errors present.</t>
  </si>
  <si>
    <t>It is recommended to print this 'Directions' sheet out when using this form for the first time.</t>
  </si>
  <si>
    <t>Leave this checkbox unmarked if the project will have a steady and reliable source of SCM(s).</t>
  </si>
  <si>
    <t>The 'Solver' function must be open on the '4 Mix Design' sheet in order for it to work on that sheet.</t>
  </si>
  <si>
    <r>
      <t xml:space="preserve">SECTION E - High Early Strength (HES) Mix Modification </t>
    </r>
    <r>
      <rPr>
        <b/>
        <i/>
        <sz val="10"/>
        <rFont val="Calibri"/>
        <family val="2"/>
        <scheme val="minor"/>
      </rPr>
      <t>(Fill Out As Needed)</t>
    </r>
  </si>
  <si>
    <t>There is an optional field in Section E - High Early Strength (HES) Mix Modification to modify the mixture into a High Early Strength (HES) mixture.</t>
  </si>
  <si>
    <t>Check the most relevant option per 710.4 (5) if you wish to make this mixture HES.</t>
  </si>
  <si>
    <t>3. Select the concrete placement method from the drop down menu in the 'TARANTULA RESULTS: FINE AGGREGATE LIMITS' at the bottom of the worksheet.</t>
  </si>
  <si>
    <t>Input those weights into the proper cells.</t>
  </si>
  <si>
    <t>***CELL D12 MUST BE SELECTED FOR THE OPTIMIZE TOOL TO WORK!!!***</t>
  </si>
  <si>
    <t>SHEET INSTRUCTIONS</t>
  </si>
  <si>
    <t>If you do not have the Excel Solver Add-in active on your machine you will need to enable it by selecting: file, options, Add-ins and enable the Solver Add-in.</t>
  </si>
  <si>
    <t>Total Cement Content (lbs./cy)</t>
  </si>
  <si>
    <t>1. Enter info listed in Cementitious material: Manufacturer, Source, Type/Class/Grade, and Specific Gravity (S.G.).</t>
  </si>
  <si>
    <t>S.G. can be found on the Mill Certification from the manufacturer.</t>
  </si>
  <si>
    <t>4. Enter a water-to-cementitious ratio (w/cm) less than or equal to the max w/cm ratio allowed.</t>
  </si>
  <si>
    <t>If the mixture is for Class I concrete and being slip-formed: Enter the Box Test Results.</t>
  </si>
  <si>
    <t>The maximum total SCM replacement amount is 30%. If the input is greater than 30%, then an error message will be present.</t>
  </si>
  <si>
    <t xml:space="preserve">The default data entries in the ‘By Changing Variable Cells’ are the following cells: Coarse A (Cell D7), Coarse B (Cell D8), Fine A (Cell D10) </t>
  </si>
  <si>
    <t>Read Optimize Tool instructions if you want to use it to proportion your mixture.</t>
  </si>
  <si>
    <t>The 'Solver' function must be opened on the 'Optimize Tool' sheet in order for the tool to work.</t>
  </si>
  <si>
    <t>4 Mix Design Combined Grad.</t>
  </si>
  <si>
    <t>Additional Cement (lbs./cy)</t>
  </si>
  <si>
    <t>Sum of Fines</t>
  </si>
  <si>
    <t>%Ret.</t>
  </si>
  <si>
    <t>Optimize Tool Comp. FM</t>
  </si>
  <si>
    <t>Version 2.1</t>
  </si>
  <si>
    <t>DT2221     08/2022</t>
  </si>
  <si>
    <t xml:space="preserve">5. If not using the Optimize Tool: Multiply the total aggregate weight (2700 - 4000 lbs./cy) by the desired percentage to get the weight for each aggregate. </t>
  </si>
  <si>
    <r>
      <t xml:space="preserve">THIS FORM IS </t>
    </r>
    <r>
      <rPr>
        <u/>
        <sz val="11"/>
        <color rgb="FFC00000"/>
        <rFont val="Calibri"/>
        <family val="2"/>
        <scheme val="minor"/>
      </rPr>
      <t>ONLY</t>
    </r>
    <r>
      <rPr>
        <sz val="11"/>
        <color rgb="FFC00000"/>
        <rFont val="Calibri"/>
        <family val="2"/>
        <scheme val="minor"/>
      </rPr>
      <t xml:space="preserve"> MEANT FOR CONCRETE MIXTURE DESIGNS.</t>
    </r>
  </si>
  <si>
    <r>
      <t xml:space="preserve">This form is meant for </t>
    </r>
    <r>
      <rPr>
        <u/>
        <sz val="11"/>
        <color rgb="FFC00000"/>
        <rFont val="Calibri"/>
        <family val="2"/>
        <scheme val="minor"/>
      </rPr>
      <t>NORMAL WEIGHT CONCRETE</t>
    </r>
    <r>
      <rPr>
        <sz val="11"/>
        <color rgb="FFC00000"/>
        <rFont val="Calibri"/>
        <family val="2"/>
        <scheme val="minor"/>
      </rPr>
      <t>. Contact BTS - Concrete Unit before using if using lightweight</t>
    </r>
  </si>
  <si>
    <t>MIXTURE DESIGNERS/CONTRACTORS: Only checkmark the SCM Exemption Request Checkbox if there are KNOWN logistical issues of supplying a SCM(s).</t>
  </si>
  <si>
    <r>
      <t xml:space="preserve">4 Mix Design </t>
    </r>
    <r>
      <rPr>
        <b/>
        <sz val="11"/>
        <color rgb="FFC00000"/>
        <rFont val="Calibri"/>
        <family val="2"/>
        <scheme val="minor"/>
      </rPr>
      <t>***WARNING***</t>
    </r>
    <r>
      <rPr>
        <b/>
        <sz val="11"/>
        <rFont val="Calibri"/>
        <family val="2"/>
        <scheme val="minor"/>
      </rPr>
      <t xml:space="preserve">  THIS WORKSHEET IS UNLOCKED AND CONTAINS SENSITIVE CALCULATIONS. ONLY MODIFY CANARY YELLOW CELLS</t>
    </r>
  </si>
  <si>
    <r>
      <t xml:space="preserve">Optimize Tool </t>
    </r>
    <r>
      <rPr>
        <b/>
        <sz val="11"/>
        <color rgb="FFC00000"/>
        <rFont val="Calibri"/>
        <family val="2"/>
        <scheme val="minor"/>
      </rPr>
      <t xml:space="preserve">***WARNING***  </t>
    </r>
    <r>
      <rPr>
        <b/>
        <sz val="11"/>
        <rFont val="Calibri"/>
        <family val="2"/>
        <scheme val="minor"/>
      </rPr>
      <t>THIS WORKSHEET IS UNLOCKED AND CONTAINS SENSITIVE CALCULATIONS.</t>
    </r>
  </si>
  <si>
    <t>All DT2221 Forms must be submitted in a PDF format. Instructions on which worksheets are needed for submittals and how</t>
  </si>
  <si>
    <r>
      <t xml:space="preserve">The following Excel Worksheets </t>
    </r>
    <r>
      <rPr>
        <b/>
        <u/>
        <sz val="11"/>
        <color rgb="FFA20000"/>
        <rFont val="Calibri"/>
        <family val="2"/>
        <scheme val="minor"/>
      </rPr>
      <t>DO NOT</t>
    </r>
    <r>
      <rPr>
        <b/>
        <sz val="11"/>
        <color rgb="FFA20000"/>
        <rFont val="Calibri"/>
        <family val="2"/>
        <scheme val="minor"/>
      </rPr>
      <t xml:space="preserve"> </t>
    </r>
    <r>
      <rPr>
        <b/>
        <sz val="11"/>
        <color theme="1"/>
        <rFont val="Calibri"/>
        <family val="2"/>
        <scheme val="minor"/>
      </rPr>
      <t>need to be submitted for Concrete Mixture Design Submittal:</t>
    </r>
  </si>
  <si>
    <r>
      <t xml:space="preserve">The following Excel Worksheets are </t>
    </r>
    <r>
      <rPr>
        <b/>
        <u/>
        <sz val="11"/>
        <color rgb="FFA20000"/>
        <rFont val="Calibri"/>
        <family val="2"/>
        <scheme val="minor"/>
      </rPr>
      <t>REQUIRED</t>
    </r>
    <r>
      <rPr>
        <b/>
        <sz val="11"/>
        <color rgb="FFA20000"/>
        <rFont val="Calibri"/>
        <family val="2"/>
        <scheme val="minor"/>
      </rPr>
      <t xml:space="preserve"> </t>
    </r>
    <r>
      <rPr>
        <b/>
        <sz val="11"/>
        <rFont val="Calibri"/>
        <family val="2"/>
        <scheme val="minor"/>
      </rPr>
      <t>for Concrete Mixture Design Submittal:</t>
    </r>
  </si>
  <si>
    <r>
      <t xml:space="preserve">HES Modification </t>
    </r>
    <r>
      <rPr>
        <i/>
        <sz val="10"/>
        <color rgb="FFA20000"/>
        <rFont val="Calibri"/>
        <family val="2"/>
        <scheme val="minor"/>
      </rPr>
      <t>(Select One)</t>
    </r>
  </si>
  <si>
    <t>DT2221</t>
  </si>
  <si>
    <t>GENERAL INSTRUCTIONS FOR MIX MODIFICATION</t>
  </si>
  <si>
    <t xml:space="preserve">This form documents changes made to an approved concrete mix design after the original contract mix has been approved. Complete all canary colored fields applicable to the modification being requested. The information provied should clearly identify what changed, why the change was made, and the supporting quality data. </t>
  </si>
  <si>
    <t>Multiple modifications may be documented within a single modification record. If any Level 2 modification is included, the modification record shall be subject to Level 2 review and approval requirements, regardless of any accompanying Level 1 modifications.</t>
  </si>
  <si>
    <t>Modification Contractor Mix ID</t>
  </si>
  <si>
    <t xml:space="preserve">Enter: </t>
  </si>
  <si>
    <t xml:space="preserve">New mix identification number assigned to the modified mix. </t>
  </si>
  <si>
    <t xml:space="preserve">Example: </t>
  </si>
  <si>
    <t>T1240730A-2_v1</t>
  </si>
  <si>
    <t>Intent:</t>
  </si>
  <si>
    <t>Create a unique identifier for the revised mix while maintaining traceability to the original mix.</t>
  </si>
  <si>
    <t>Modification Mix Date</t>
  </si>
  <si>
    <t>Enter:</t>
  </si>
  <si>
    <t>Date the modified mix design was created.</t>
  </si>
  <si>
    <t>Example:</t>
  </si>
  <si>
    <t>Original Contractor Mix ID</t>
  </si>
  <si>
    <t>Contract mix identification number of mixture modifying.</t>
  </si>
  <si>
    <t xml:space="preserve">Intent: </t>
  </si>
  <si>
    <t>The first modification will modify the mix identification number on the 1 Certification Tab. 
Subsequent modifications could be modifying the mix identification number on the 1 Certification Tab OR a modification of this mix already</t>
  </si>
  <si>
    <t>1. If modifying the original submittal - copy the mix ID from the 1 Certification Page: T1240730A-2</t>
  </si>
  <si>
    <t>2. If modifying a modification: T1240730A-2_v1</t>
  </si>
  <si>
    <t>Original Mix Date</t>
  </si>
  <si>
    <t>Original approval or creation date of the mix design</t>
  </si>
  <si>
    <t>Modification Level</t>
  </si>
  <si>
    <t>Check the box of the Level of Modification. (Level 1 or Level 2)</t>
  </si>
  <si>
    <t>WisDOT Approval</t>
  </si>
  <si>
    <t>Check appropriate box (yes  / no)</t>
  </si>
  <si>
    <t>Level 1 does not require WisDOT Approval</t>
  </si>
  <si>
    <t>Level 2 REQUIRES WisDOT Approval</t>
  </si>
  <si>
    <t>If Level 1 and Level 2 are being submitted in the same modification, WisDOT Approval is Required</t>
  </si>
  <si>
    <t>BTS Approval</t>
  </si>
  <si>
    <t>Flags if additional time may be needed to get approval of the modification.</t>
  </si>
  <si>
    <t>▪ Cement Source not on the APL</t>
  </si>
  <si>
    <t>▪ Aggregate Source not on the APL</t>
  </si>
  <si>
    <t>▪ Use of Silicia Fume</t>
  </si>
  <si>
    <t>▪ Use of Blended SCM</t>
  </si>
  <si>
    <t>▪ Use of Alternative SCM</t>
  </si>
  <si>
    <t>▪ Use of High Range Water Reducer</t>
  </si>
  <si>
    <t>▪ Use of Hydration Controlling Admixture</t>
  </si>
  <si>
    <t>HES Mix Modification</t>
  </si>
  <si>
    <t>Reminder that a new 132 report is required for HES Mix</t>
  </si>
  <si>
    <t>Modification Made to Mix Design (Level 1)</t>
  </si>
  <si>
    <t>Water Source</t>
  </si>
  <si>
    <t>The new (already approved) water source that will be used for the mix design</t>
  </si>
  <si>
    <t>SW Liberty Private Well 0-131-0012-2026</t>
  </si>
  <si>
    <t>Add Color Pigment</t>
  </si>
  <si>
    <t>Enter the brand, color and loading rate</t>
  </si>
  <si>
    <t>Butterfield  U-15 Coral Buff 6%</t>
  </si>
  <si>
    <t>Fly Ash Clas C Source (Pavement/Barrier)</t>
  </si>
  <si>
    <t>Enter the source, location and the specific gravity of the new ash source</t>
  </si>
  <si>
    <t>Amrize - Oak Creek (SG 2.59)</t>
  </si>
  <si>
    <t>Slag Source (same grade)</t>
  </si>
  <si>
    <t>Enter the source, location and the specific gravity of the new slag source</t>
  </si>
  <si>
    <t>Heidelberg - Middlebranch (SG 2.67)</t>
  </si>
  <si>
    <t>Admix Dosage Rate (on APL)</t>
  </si>
  <si>
    <t>Enter admix and new dosage rate</t>
  </si>
  <si>
    <t>Dynamon SX (5.5%)</t>
  </si>
  <si>
    <t>Add Type B or D Admixture (on APL)</t>
  </si>
  <si>
    <t>Enter admix and dosage rate</t>
  </si>
  <si>
    <t>Mapetard (Polychem) R (3%)</t>
  </si>
  <si>
    <t>Remove Type B or D Admixture (on APL)</t>
  </si>
  <si>
    <t>Enter admix name and specify removed</t>
  </si>
  <si>
    <t>Mapetard (Polychem) R - Removed</t>
  </si>
  <si>
    <t>Aggregate Blend / Agg Quality Update</t>
  </si>
  <si>
    <r>
      <rPr>
        <i/>
        <sz val="11"/>
        <rFont val="Calibri"/>
        <family val="2"/>
        <scheme val="minor"/>
      </rPr>
      <t>Aggregate Blend:</t>
    </r>
    <r>
      <rPr>
        <sz val="11"/>
        <rFont val="Calibri"/>
        <family val="2"/>
        <scheme val="minor"/>
      </rPr>
      <t xml:space="preserve"> Enter the percentages of all the aggregates in the mixture</t>
    </r>
  </si>
  <si>
    <r>
      <rPr>
        <i/>
        <sz val="11"/>
        <rFont val="Calibri"/>
        <family val="2"/>
        <scheme val="minor"/>
      </rPr>
      <t>Agg Quality Update</t>
    </r>
    <r>
      <rPr>
        <sz val="11"/>
        <rFont val="Calibri"/>
        <family val="2"/>
        <scheme val="minor"/>
      </rPr>
      <t>: Enter "See Agg Quality Updtate Section"</t>
    </r>
  </si>
  <si>
    <r>
      <rPr>
        <i/>
        <sz val="11"/>
        <rFont val="Calibri"/>
        <family val="2"/>
        <scheme val="minor"/>
      </rPr>
      <t>Aggregate Blend:</t>
    </r>
    <r>
      <rPr>
        <sz val="11"/>
        <rFont val="Calibri"/>
        <family val="2"/>
        <scheme val="minor"/>
      </rPr>
      <t xml:space="preserve"> Coarse A (10%)/Coarse B (45%)/Fine A (45%)</t>
    </r>
  </si>
  <si>
    <t>If it doesn't all fit, then state "See Remarks / Comments Section" and include all the percentages there</t>
  </si>
  <si>
    <r>
      <rPr>
        <i/>
        <sz val="11"/>
        <rFont val="Calibri"/>
        <family val="2"/>
        <scheme val="minor"/>
      </rPr>
      <t>Agg Quality Update:</t>
    </r>
    <r>
      <rPr>
        <sz val="11"/>
        <rFont val="Calibri"/>
        <family val="2"/>
        <scheme val="minor"/>
      </rPr>
      <t xml:space="preserve"> See Agg Quality Update Section</t>
    </r>
  </si>
  <si>
    <t>Modifiation Made to Mix Design (Level2)</t>
  </si>
  <si>
    <r>
      <rPr>
        <b/>
        <i/>
        <sz val="11"/>
        <color theme="1"/>
        <rFont val="Calibri"/>
        <family val="2"/>
        <scheme val="minor"/>
      </rPr>
      <t>BEST PRACTICE:</t>
    </r>
    <r>
      <rPr>
        <sz val="11"/>
        <color theme="1"/>
        <rFont val="Calibri"/>
        <family val="2"/>
        <scheme val="minor"/>
      </rPr>
      <t xml:space="preserve"> When doing a Level 2 mod, provide additonal explanation in the Remarks/Comments section to ensure clarity for the engineer to approve the modification timely.</t>
    </r>
  </si>
  <si>
    <t>Total Cementitous QTY (HES/SHES)</t>
  </si>
  <si>
    <t>Enter the new total cementitous qty</t>
  </si>
  <si>
    <t xml:space="preserve">Total Cementitous 625 lbs. </t>
  </si>
  <si>
    <t>Remarks:</t>
  </si>
  <si>
    <t>In the Remarks / Comments section - provide the breakdown of the cementitous qty and new percentage of SCM replacement (Ex: Total Cementitious 625 lbs: Cement 455.5 lbs / FA 169.5 lbs (SCM Replacement Rate: 27.1%))</t>
  </si>
  <si>
    <t>SCM Replacement Rate</t>
  </si>
  <si>
    <t>Enter the new replacement rate for the SCM's</t>
  </si>
  <si>
    <t>Example: Old SCM Replacement Rate 30% - HES mixture changes SCM rate to 27.1%</t>
  </si>
  <si>
    <t>Example: Old SCM Replacement Rate 30% - FA supply change, new replacement rate 27.1%</t>
  </si>
  <si>
    <t>Fly Ash Class F Source (Pavement/Barrier)</t>
  </si>
  <si>
    <t>EM Resources - Prairie State (SG 2.58)</t>
  </si>
  <si>
    <t>Slag Source (different grade)</t>
  </si>
  <si>
    <t>Enter the source, location, grade, and the specific gravity of the new slag source</t>
  </si>
  <si>
    <t>Heidelberg - Middlebranch Grade 120 (SG 2.67)</t>
  </si>
  <si>
    <t>Add Type B or D Admixture (not on APL)</t>
  </si>
  <si>
    <t>Fosroc - Auracast 270 Type B</t>
  </si>
  <si>
    <t>Remove Type B or D Admixture (not on APL)</t>
  </si>
  <si>
    <t>Fosroc - Auracast 270 Type B - Removed</t>
  </si>
  <si>
    <t>Aggregate Quality Update</t>
  </si>
  <si>
    <t>Update the aggregate quality data with the most current quality data on the APL OR update to the new SG &amp; Absorption that contractor performed</t>
  </si>
  <si>
    <t>Enter the source name, source ID #, Test #, SG (OD), Absorb (%) and the updated SSD weight for the mix design</t>
  </si>
  <si>
    <t>Remarks / Comments</t>
  </si>
  <si>
    <t>This section is to be used to explain anything that would assist in the communication and approval of the modifications being requested.</t>
  </si>
  <si>
    <t>Name of certified PCC TEC II that is making the modification request. This does not have to be the same person that created the mix design</t>
  </si>
  <si>
    <t>Adam Paver</t>
  </si>
  <si>
    <t>Signature of the certified indivual requesting the modification. (either ink or digital)</t>
  </si>
  <si>
    <t>Enter the HTCP # of the PCC TEC II</t>
  </si>
  <si>
    <t>Date the modification is submitted to the project staff</t>
  </si>
  <si>
    <t>Enter the name of the PCC MDC certified individual that is approving the mix design. This is only requied for a 
Level 2 modification. If a Level 1 modification is submitted, N/A can be entered.</t>
  </si>
  <si>
    <r>
      <rPr>
        <i/>
        <sz val="11"/>
        <rFont val="Calibri"/>
        <family val="2"/>
        <scheme val="minor"/>
      </rPr>
      <t>Level 1</t>
    </r>
    <r>
      <rPr>
        <sz val="11"/>
        <rFont val="Calibri"/>
        <family val="2"/>
        <scheme val="minor"/>
      </rPr>
      <t>: N/A</t>
    </r>
  </si>
  <si>
    <r>
      <rPr>
        <i/>
        <sz val="11"/>
        <rFont val="Calibri"/>
        <family val="2"/>
        <scheme val="minor"/>
      </rPr>
      <t xml:space="preserve">Level 2: </t>
    </r>
    <r>
      <rPr>
        <sz val="11"/>
        <rFont val="Calibri"/>
        <family val="2"/>
        <scheme val="minor"/>
      </rPr>
      <t>Matthew Overton</t>
    </r>
  </si>
  <si>
    <t>Signature of the certified indivual approving the modification. (either ink or digital)</t>
  </si>
  <si>
    <t>Matthew Overton</t>
  </si>
  <si>
    <t>Enter the HTCP # of the PCC MDC</t>
  </si>
  <si>
    <t>Date the PCC MDC approves the modification. Modification approval needs to be sent to contractor same day</t>
  </si>
  <si>
    <t xml:space="preserve">BTS Approval Needed for: </t>
  </si>
  <si>
    <t>State what is needed for BTS to approve. (ie: cement soure not on APL, aggregate source not on APL, silicia fume, blended SCM, alternative SCM, HRWR, hydration controlling admixture)</t>
  </si>
  <si>
    <t>Adjusting cementitious quantity on cement source that is not on APL, but was approved for project use.</t>
  </si>
  <si>
    <t>BTS Engineer Name (Print)</t>
  </si>
  <si>
    <t>Enter the name of the BTS employee that is approving the mix modification</t>
  </si>
  <si>
    <t>Eric Maleficient</t>
  </si>
  <si>
    <t>Signature of theBTS employee approving the modification. (either ink or digital)</t>
  </si>
  <si>
    <t>Date the BTS engineer approves the mix modification</t>
  </si>
  <si>
    <r>
      <t>Version 1</t>
    </r>
    <r>
      <rPr>
        <b/>
        <sz val="9"/>
        <rFont val="Calibri"/>
        <family val="2"/>
        <scheme val="minor"/>
      </rPr>
      <t xml:space="preserve"> ( Mix Modification Date)</t>
    </r>
  </si>
  <si>
    <r>
      <t>Version 2</t>
    </r>
    <r>
      <rPr>
        <b/>
        <sz val="9"/>
        <rFont val="Calibri"/>
        <family val="2"/>
        <scheme val="minor"/>
      </rPr>
      <t xml:space="preserve"> ( Mix Modification Date)</t>
    </r>
  </si>
  <si>
    <r>
      <t>Version 3</t>
    </r>
    <r>
      <rPr>
        <b/>
        <sz val="9"/>
        <rFont val="Calibri"/>
        <family val="2"/>
        <scheme val="minor"/>
      </rPr>
      <t xml:space="preserve"> ( Mix Modification Date)</t>
    </r>
  </si>
  <si>
    <r>
      <t>Version 4</t>
    </r>
    <r>
      <rPr>
        <b/>
        <sz val="9"/>
        <rFont val="Calibri"/>
        <family val="2"/>
        <scheme val="minor"/>
      </rPr>
      <t xml:space="preserve"> ( Mix Modification Date)</t>
    </r>
  </si>
  <si>
    <r>
      <t>Version 5</t>
    </r>
    <r>
      <rPr>
        <b/>
        <sz val="9"/>
        <rFont val="Calibri"/>
        <family val="2"/>
        <scheme val="minor"/>
      </rPr>
      <t xml:space="preserve"> ( Mix Modification Date)</t>
    </r>
  </si>
  <si>
    <r>
      <t xml:space="preserve">MODIFICATION </t>
    </r>
    <r>
      <rPr>
        <b/>
        <sz val="10"/>
        <rFont val="Calibri"/>
        <family val="2"/>
        <scheme val="minor"/>
      </rPr>
      <t>(Version 1)</t>
    </r>
  </si>
  <si>
    <t>Modification Made to Mix Design (Level 2)</t>
  </si>
  <si>
    <t>AGGREGATE QUALITY UPDATE</t>
  </si>
  <si>
    <t>Updated SSD Weight</t>
  </si>
  <si>
    <t>Remarks / Comments:</t>
  </si>
  <si>
    <t>BTS Approval Needed for:</t>
  </si>
  <si>
    <t xml:space="preserve"> BTS Engineer Name (Print)</t>
  </si>
  <si>
    <r>
      <t xml:space="preserve">MODIFICATION </t>
    </r>
    <r>
      <rPr>
        <b/>
        <sz val="10"/>
        <rFont val="Calibri"/>
        <family val="2"/>
        <scheme val="minor"/>
      </rPr>
      <t>(Version 2)</t>
    </r>
  </si>
  <si>
    <r>
      <t xml:space="preserve">MODIFICATION </t>
    </r>
    <r>
      <rPr>
        <b/>
        <sz val="10"/>
        <rFont val="Calibri"/>
        <family val="2"/>
        <scheme val="minor"/>
      </rPr>
      <t>(Version 3)</t>
    </r>
  </si>
  <si>
    <r>
      <t xml:space="preserve">MODIFICATION </t>
    </r>
    <r>
      <rPr>
        <b/>
        <sz val="10"/>
        <rFont val="Calibri"/>
        <family val="2"/>
        <scheme val="minor"/>
      </rPr>
      <t>(Version 4)</t>
    </r>
  </si>
  <si>
    <r>
      <t xml:space="preserve">MODIFICATION </t>
    </r>
    <r>
      <rPr>
        <b/>
        <sz val="10"/>
        <rFont val="Calibri"/>
        <family val="2"/>
        <scheme val="minor"/>
      </rPr>
      <t>(Version 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</si>
</sst>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0.0"/>
    <numFmt numFmtId="165" formatCode="0.00;[Red]0.00"/>
    <numFmt numFmtId="166" formatCode="0;[Red]0"/>
    <numFmt numFmtId="167" formatCode="0.0;[Red]0.0"/>
    <numFmt numFmtId="168" formatCode="0.000"/>
    <numFmt numFmtId="169" formatCode="[$-409]d\-mmm\-yy;@"/>
    <numFmt numFmtId="170" formatCode="0.00000"/>
    <numFmt numFmtId="171" formatCode="0.0000"/>
    <numFmt numFmtId="172" formatCode="mm/dd/yy;@"/>
    <numFmt numFmtId="173" formatCode="0.0%"/>
    <numFmt numFmtId="174" formatCode="0.000000"/>
    <numFmt numFmtId="175" formatCode="[&lt;=9999999]###\-####;\(###\)\ ###\-####"/>
  </numFmts>
  <fonts count="102" x14ac:knownFonts="1">
    <font>
      <sz val="11"/>
      <color theme="1"/>
      <name val="Calibri"/>
      <family val="2"/>
      <scheme val="minor"/>
    </font>
    <font>
      <sz val="10"/>
      <name val="Arial"/>
      <family val="2"/>
    </font>
    <font>
      <sz val="12"/>
      <name val="Times New Roman"/>
      <family val="1"/>
    </font>
    <font>
      <b/>
      <sz val="12"/>
      <name val="Times New Roman"/>
      <family val="1"/>
    </font>
    <font>
      <sz val="9"/>
      <name val="Times New Roman"/>
      <family val="1"/>
    </font>
    <font>
      <sz val="8"/>
      <color rgb="FF000000"/>
      <name val="Segoe UI"/>
      <family val="2"/>
    </font>
    <font>
      <sz val="11"/>
      <color rgb="FFFF0000"/>
      <name val="Calibri"/>
      <family val="2"/>
      <scheme val="minor"/>
    </font>
    <font>
      <b/>
      <sz val="11"/>
      <color theme="1"/>
      <name val="Calibri"/>
      <family val="2"/>
      <scheme val="minor"/>
    </font>
    <font>
      <b/>
      <sz val="11"/>
      <name val="Calibri"/>
      <family val="2"/>
      <scheme val="minor"/>
    </font>
    <font>
      <sz val="11"/>
      <name val="Calibri"/>
      <family val="2"/>
      <scheme val="minor"/>
    </font>
    <font>
      <b/>
      <sz val="11"/>
      <color rgb="FFFF0000"/>
      <name val="Calibri"/>
      <family val="2"/>
      <scheme val="minor"/>
    </font>
    <font>
      <i/>
      <sz val="11"/>
      <color theme="1"/>
      <name val="Calibri"/>
      <family val="2"/>
      <scheme val="minor"/>
    </font>
    <font>
      <b/>
      <i/>
      <sz val="11"/>
      <name val="Calibri"/>
      <family val="2"/>
      <scheme val="minor"/>
    </font>
    <font>
      <i/>
      <sz val="11"/>
      <name val="Calibri"/>
      <family val="2"/>
      <scheme val="minor"/>
    </font>
    <font>
      <sz val="11"/>
      <color theme="1"/>
      <name val="Calibri"/>
      <family val="2"/>
      <scheme val="minor"/>
    </font>
    <font>
      <sz val="26"/>
      <name val="Times New Roman"/>
      <family val="1"/>
    </font>
    <font>
      <vertAlign val="superscript"/>
      <sz val="11"/>
      <name val="Calibri"/>
      <family val="2"/>
      <scheme val="minor"/>
    </font>
    <font>
      <sz val="8"/>
      <name val="Calibri"/>
      <family val="2"/>
      <scheme val="minor"/>
    </font>
    <font>
      <sz val="12"/>
      <name val="Calibri"/>
      <family val="2"/>
      <scheme val="minor"/>
    </font>
    <font>
      <u/>
      <sz val="11"/>
      <color theme="10"/>
      <name val="Calibri"/>
      <family val="2"/>
      <scheme val="minor"/>
    </font>
    <font>
      <b/>
      <sz val="10"/>
      <name val="Calibri"/>
      <family val="2"/>
      <scheme val="minor"/>
    </font>
    <font>
      <b/>
      <sz val="12"/>
      <name val="Calibri"/>
      <family val="2"/>
      <scheme val="minor"/>
    </font>
    <font>
      <sz val="10"/>
      <name val="Calibri"/>
      <family val="2"/>
      <scheme val="minor"/>
    </font>
    <font>
      <sz val="7"/>
      <name val="Calibri"/>
      <family val="2"/>
      <scheme val="minor"/>
    </font>
    <font>
      <b/>
      <sz val="12"/>
      <color theme="1"/>
      <name val="Calibri"/>
      <family val="2"/>
      <scheme val="minor"/>
    </font>
    <font>
      <b/>
      <sz val="10"/>
      <color theme="1"/>
      <name val="Calibri"/>
      <family val="2"/>
      <scheme val="minor"/>
    </font>
    <font>
      <sz val="10"/>
      <color theme="1"/>
      <name val="Calibri"/>
      <family val="2"/>
      <scheme val="minor"/>
    </font>
    <font>
      <b/>
      <vertAlign val="superscript"/>
      <sz val="10"/>
      <name val="Calibri"/>
      <family val="2"/>
      <scheme val="minor"/>
    </font>
    <font>
      <b/>
      <vertAlign val="superscript"/>
      <sz val="10"/>
      <color theme="1"/>
      <name val="Calibri"/>
      <family val="2"/>
      <scheme val="minor"/>
    </font>
    <font>
      <b/>
      <sz val="12"/>
      <name val="Calibri"/>
      <family val="2"/>
    </font>
    <font>
      <b/>
      <sz val="11"/>
      <name val="Calibri"/>
      <family val="2"/>
    </font>
    <font>
      <sz val="12"/>
      <name val="Calibri"/>
      <family val="2"/>
    </font>
    <font>
      <b/>
      <sz val="10"/>
      <name val="Calibri"/>
      <family val="2"/>
    </font>
    <font>
      <sz val="10"/>
      <name val="Calibri"/>
      <family val="2"/>
    </font>
    <font>
      <b/>
      <sz val="12"/>
      <color rgb="FFFF0000"/>
      <name val="Calibri"/>
      <family val="2"/>
    </font>
    <font>
      <sz val="12"/>
      <color indexed="10"/>
      <name val="Calibri"/>
      <family val="2"/>
    </font>
    <font>
      <b/>
      <sz val="12"/>
      <color indexed="48"/>
      <name val="Calibri"/>
      <family val="2"/>
    </font>
    <font>
      <sz val="12"/>
      <color rgb="FF0070C0"/>
      <name val="Calibri"/>
      <family val="2"/>
    </font>
    <font>
      <sz val="12"/>
      <color theme="0"/>
      <name val="Calibri"/>
      <family val="2"/>
    </font>
    <font>
      <sz val="12"/>
      <color theme="1"/>
      <name val="Calibri"/>
      <family val="2"/>
    </font>
    <font>
      <sz val="12"/>
      <color rgb="FFFF0000"/>
      <name val="Calibri"/>
      <family val="2"/>
    </font>
    <font>
      <sz val="11"/>
      <color theme="1"/>
      <name val="Calibri"/>
      <family val="2"/>
    </font>
    <font>
      <b/>
      <u/>
      <sz val="12"/>
      <name val="Calibri"/>
      <family val="2"/>
    </font>
    <font>
      <b/>
      <sz val="14"/>
      <name val="Calibri"/>
      <family val="2"/>
    </font>
    <font>
      <b/>
      <u/>
      <sz val="14"/>
      <name val="Calibri"/>
      <family val="2"/>
    </font>
    <font>
      <b/>
      <sz val="10"/>
      <color rgb="FFFF0000"/>
      <name val="Calibri"/>
      <family val="2"/>
    </font>
    <font>
      <sz val="11"/>
      <name val="Calibri"/>
      <family val="2"/>
    </font>
    <font>
      <b/>
      <sz val="12"/>
      <color theme="1"/>
      <name val="Calibri"/>
      <family val="2"/>
    </font>
    <font>
      <sz val="10"/>
      <color theme="1"/>
      <name val="Calibri"/>
      <family val="2"/>
    </font>
    <font>
      <vertAlign val="superscript"/>
      <sz val="12"/>
      <name val="Calibri"/>
      <family val="2"/>
    </font>
    <font>
      <b/>
      <sz val="12"/>
      <color indexed="12"/>
      <name val="Calibri"/>
      <family val="2"/>
    </font>
    <font>
      <sz val="16"/>
      <color theme="1"/>
      <name val="Calibri"/>
      <family val="2"/>
    </font>
    <font>
      <u/>
      <sz val="12"/>
      <name val="Calibri"/>
      <family val="2"/>
      <scheme val="minor"/>
    </font>
    <font>
      <b/>
      <sz val="10"/>
      <color rgb="FFFF0000"/>
      <name val="Calibri"/>
      <family val="2"/>
      <scheme val="minor"/>
    </font>
    <font>
      <b/>
      <sz val="12"/>
      <color rgb="FFFF0000"/>
      <name val="Calibri"/>
      <family val="2"/>
      <scheme val="minor"/>
    </font>
    <font>
      <sz val="12"/>
      <color theme="1"/>
      <name val="Calibri"/>
      <family val="2"/>
      <scheme val="minor"/>
    </font>
    <font>
      <b/>
      <sz val="12"/>
      <color indexed="12"/>
      <name val="Calibri"/>
      <family val="2"/>
      <scheme val="minor"/>
    </font>
    <font>
      <b/>
      <sz val="12"/>
      <color indexed="48"/>
      <name val="Calibri"/>
      <family val="2"/>
      <scheme val="minor"/>
    </font>
    <font>
      <b/>
      <u/>
      <sz val="12"/>
      <name val="Calibri"/>
      <family val="2"/>
      <scheme val="minor"/>
    </font>
    <font>
      <vertAlign val="subscript"/>
      <sz val="12"/>
      <name val="Calibri"/>
      <family val="2"/>
      <scheme val="minor"/>
    </font>
    <font>
      <i/>
      <sz val="12"/>
      <name val="Calibri"/>
      <family val="2"/>
      <scheme val="minor"/>
    </font>
    <font>
      <i/>
      <vertAlign val="subscript"/>
      <sz val="12"/>
      <name val="Calibri"/>
      <family val="2"/>
      <scheme val="minor"/>
    </font>
    <font>
      <sz val="9"/>
      <name val="Calibri"/>
      <family val="2"/>
      <scheme val="minor"/>
    </font>
    <font>
      <vertAlign val="superscript"/>
      <sz val="12"/>
      <color theme="1"/>
      <name val="Calibri"/>
      <family val="2"/>
    </font>
    <font>
      <sz val="12"/>
      <color indexed="81"/>
      <name val="Tahoma"/>
      <family val="2"/>
    </font>
    <font>
      <b/>
      <sz val="22"/>
      <color rgb="FFFF0000"/>
      <name val="Calibri"/>
      <family val="2"/>
    </font>
    <font>
      <sz val="22"/>
      <color rgb="FFFF0000"/>
      <name val="Calibri"/>
      <family val="2"/>
    </font>
    <font>
      <b/>
      <sz val="24"/>
      <color rgb="FFFF0000"/>
      <name val="Calibri"/>
      <family val="2"/>
    </font>
    <font>
      <sz val="24"/>
      <color rgb="FFFF0000"/>
      <name val="Calibri"/>
      <family val="2"/>
    </font>
    <font>
      <b/>
      <sz val="12"/>
      <color indexed="81"/>
      <name val="Tahoma"/>
      <family val="2"/>
    </font>
    <font>
      <b/>
      <sz val="9"/>
      <color indexed="81"/>
      <name val="Tahoma"/>
      <family val="2"/>
    </font>
    <font>
      <b/>
      <sz val="10"/>
      <color indexed="81"/>
      <name val="Tahoma"/>
      <family val="2"/>
    </font>
    <font>
      <sz val="9"/>
      <color indexed="81"/>
      <name val="Tahoma"/>
      <family val="2"/>
    </font>
    <font>
      <sz val="18"/>
      <color theme="1"/>
      <name val="Calibri"/>
      <family val="2"/>
      <scheme val="minor"/>
    </font>
    <font>
      <b/>
      <sz val="11"/>
      <color indexed="81"/>
      <name val="Tahoma"/>
      <family val="2"/>
    </font>
    <font>
      <sz val="11"/>
      <color indexed="81"/>
      <name val="Tahoma"/>
      <family val="2"/>
    </font>
    <font>
      <u/>
      <sz val="12"/>
      <color theme="10"/>
      <name val="Calibri"/>
      <family val="2"/>
      <scheme val="minor"/>
    </font>
    <font>
      <b/>
      <u/>
      <sz val="12"/>
      <color indexed="81"/>
      <name val="Tahoma"/>
      <family val="2"/>
    </font>
    <font>
      <b/>
      <i/>
      <sz val="10"/>
      <name val="Calibri"/>
      <family val="2"/>
      <scheme val="minor"/>
    </font>
    <font>
      <sz val="11"/>
      <color rgb="FFC00000"/>
      <name val="Calibri"/>
      <family val="2"/>
      <scheme val="minor"/>
    </font>
    <font>
      <b/>
      <sz val="11"/>
      <color rgb="FFC00000"/>
      <name val="Calibri"/>
      <family val="2"/>
      <scheme val="minor"/>
    </font>
    <font>
      <i/>
      <sz val="11"/>
      <color rgb="FFC00000"/>
      <name val="Calibri"/>
      <family val="2"/>
      <scheme val="minor"/>
    </font>
    <font>
      <u/>
      <sz val="11"/>
      <color rgb="FFC00000"/>
      <name val="Calibri"/>
      <family val="2"/>
      <scheme val="minor"/>
    </font>
    <font>
      <sz val="11"/>
      <color rgb="FF505050"/>
      <name val="Calibri"/>
      <family val="2"/>
      <scheme val="minor"/>
    </font>
    <font>
      <b/>
      <sz val="11"/>
      <color rgb="FFA20000"/>
      <name val="Calibri"/>
      <family val="2"/>
      <scheme val="minor"/>
    </font>
    <font>
      <b/>
      <sz val="10"/>
      <color rgb="FFA20000"/>
      <name val="Calibri"/>
      <family val="2"/>
      <scheme val="minor"/>
    </font>
    <font>
      <b/>
      <sz val="9"/>
      <color rgb="FFA20000"/>
      <name val="Calibri"/>
      <family val="2"/>
      <scheme val="minor"/>
    </font>
    <font>
      <sz val="12"/>
      <color rgb="FF9D9D9D"/>
      <name val="Calibri"/>
      <family val="2"/>
    </font>
    <font>
      <b/>
      <sz val="12"/>
      <color rgb="FFA20000"/>
      <name val="Calibri"/>
      <family val="2"/>
    </font>
    <font>
      <b/>
      <sz val="12"/>
      <color rgb="FFA20000"/>
      <name val="Calibri"/>
      <family val="2"/>
      <scheme val="minor"/>
    </font>
    <font>
      <sz val="14"/>
      <color rgb="FFA20000"/>
      <name val="Calibri"/>
      <family val="2"/>
    </font>
    <font>
      <sz val="11"/>
      <color rgb="FFA20000"/>
      <name val="Calibri"/>
      <family val="2"/>
      <scheme val="minor"/>
    </font>
    <font>
      <b/>
      <u/>
      <sz val="11"/>
      <color rgb="FFA20000"/>
      <name val="Calibri"/>
      <family val="2"/>
      <scheme val="minor"/>
    </font>
    <font>
      <sz val="14"/>
      <color rgb="FFA20000"/>
      <name val="Calibri"/>
      <family val="2"/>
      <scheme val="minor"/>
    </font>
    <font>
      <i/>
      <sz val="10"/>
      <color rgb="FFA20000"/>
      <name val="Calibri"/>
      <family val="2"/>
      <scheme val="minor"/>
    </font>
    <font>
      <sz val="8"/>
      <color theme="1"/>
      <name val="Segoe UI"/>
      <family val="2"/>
    </font>
    <font>
      <sz val="11"/>
      <name val="Aptos Narrow"/>
      <family val="2"/>
    </font>
    <font>
      <b/>
      <i/>
      <sz val="11"/>
      <color theme="1"/>
      <name val="Calibri"/>
      <family val="2"/>
      <scheme val="minor"/>
    </font>
    <font>
      <sz val="11"/>
      <name val="Lucida Calligraphy"/>
      <family val="4"/>
    </font>
    <font>
      <b/>
      <sz val="10"/>
      <color theme="0"/>
      <name val="Calibri"/>
      <family val="2"/>
      <scheme val="minor"/>
    </font>
    <font>
      <b/>
      <sz val="9"/>
      <name val="Calibri"/>
      <family val="2"/>
      <scheme val="minor"/>
    </font>
    <font>
      <b/>
      <sz val="10"/>
      <name val="Lucida Calligraphy"/>
      <family val="4"/>
    </font>
  </fonts>
  <fills count="11">
    <fill>
      <patternFill patternType="none"/>
    </fill>
    <fill>
      <patternFill patternType="gray125"/>
    </fill>
    <fill>
      <patternFill patternType="solid">
        <fgColor theme="4" tint="0.59999389629810485"/>
        <bgColor indexed="64"/>
      </patternFill>
    </fill>
    <fill>
      <patternFill patternType="solid">
        <fgColor theme="1"/>
        <bgColor indexed="64"/>
      </patternFill>
    </fill>
    <fill>
      <patternFill patternType="solid">
        <fgColor rgb="FFFFFF00"/>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s>
  <borders count="8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bottom style="thin">
        <color indexed="64"/>
      </bottom>
      <diagonal/>
    </border>
    <border>
      <left style="medium">
        <color indexed="64"/>
      </left>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style="thin">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dotted">
        <color indexed="64"/>
      </left>
      <right/>
      <top/>
      <bottom style="thin">
        <color indexed="64"/>
      </bottom>
      <diagonal/>
    </border>
    <border>
      <left style="dotted">
        <color indexed="64"/>
      </left>
      <right/>
      <top style="thin">
        <color indexed="64"/>
      </top>
      <bottom style="thin">
        <color indexed="64"/>
      </bottom>
      <diagonal/>
    </border>
  </borders>
  <cellStyleXfs count="5">
    <xf numFmtId="0" fontId="0" fillId="0" borderId="0"/>
    <xf numFmtId="0" fontId="1" fillId="0" borderId="0"/>
    <xf numFmtId="0" fontId="4" fillId="0" borderId="0"/>
    <xf numFmtId="9" fontId="14" fillId="0" borderId="0" applyFont="0" applyFill="0" applyBorder="0" applyAlignment="0" applyProtection="0"/>
    <xf numFmtId="0" fontId="19" fillId="0" borderId="0" applyNumberFormat="0" applyFill="0" applyBorder="0" applyAlignment="0" applyProtection="0"/>
  </cellStyleXfs>
  <cellXfs count="1506">
    <xf numFmtId="0" fontId="0" fillId="0" borderId="0" xfId="0"/>
    <xf numFmtId="0" fontId="2" fillId="0" borderId="0" xfId="0" applyFont="1"/>
    <xf numFmtId="0" fontId="2" fillId="0" borderId="24" xfId="0" applyFont="1" applyBorder="1"/>
    <xf numFmtId="1" fontId="2" fillId="0" borderId="0" xfId="0" applyNumberFormat="1" applyFont="1"/>
    <xf numFmtId="0" fontId="3" fillId="0" borderId="0" xfId="0" applyFont="1"/>
    <xf numFmtId="2" fontId="2" fillId="0" borderId="0" xfId="0" applyNumberFormat="1" applyFont="1"/>
    <xf numFmtId="168" fontId="2" fillId="0" borderId="0" xfId="0" applyNumberFormat="1" applyFont="1"/>
    <xf numFmtId="0" fontId="2" fillId="0" borderId="42" xfId="0" applyFont="1" applyBorder="1"/>
    <xf numFmtId="0" fontId="2" fillId="0" borderId="28" xfId="0" applyFont="1" applyBorder="1"/>
    <xf numFmtId="0" fontId="2" fillId="0" borderId="38" xfId="0" applyFont="1" applyBorder="1"/>
    <xf numFmtId="164" fontId="2" fillId="0" borderId="0" xfId="0" applyNumberFormat="1" applyFont="1"/>
    <xf numFmtId="0" fontId="2" fillId="0" borderId="51" xfId="0" applyFont="1" applyBorder="1"/>
    <xf numFmtId="0" fontId="2" fillId="0" borderId="52" xfId="0" applyFont="1" applyBorder="1"/>
    <xf numFmtId="0" fontId="3" fillId="0" borderId="9" xfId="0" applyFont="1" applyBorder="1" applyAlignment="1">
      <alignment horizontal="left"/>
    </xf>
    <xf numFmtId="0" fontId="3" fillId="0" borderId="50" xfId="0" applyFont="1" applyBorder="1" applyAlignment="1">
      <alignment horizontal="left"/>
    </xf>
    <xf numFmtId="0" fontId="3" fillId="0" borderId="52" xfId="0" applyFont="1" applyBorder="1"/>
    <xf numFmtId="164" fontId="2" fillId="0" borderId="9" xfId="0" applyNumberFormat="1" applyFont="1" applyBorder="1" applyAlignment="1">
      <alignment horizontal="left"/>
    </xf>
    <xf numFmtId="0" fontId="2" fillId="0" borderId="9" xfId="0" applyFont="1" applyBorder="1" applyAlignment="1">
      <alignment horizontal="left"/>
    </xf>
    <xf numFmtId="164" fontId="2" fillId="0" borderId="50" xfId="0" applyNumberFormat="1" applyFont="1" applyBorder="1" applyAlignment="1">
      <alignment horizontal="left"/>
    </xf>
    <xf numFmtId="0" fontId="2" fillId="0" borderId="0" xfId="0" applyFont="1" applyAlignment="1">
      <alignment vertical="top"/>
    </xf>
    <xf numFmtId="0" fontId="2" fillId="0" borderId="51" xfId="0" applyFont="1" applyBorder="1" applyAlignment="1">
      <alignment vertical="top"/>
    </xf>
    <xf numFmtId="0" fontId="2" fillId="0" borderId="51" xfId="0" applyFont="1" applyBorder="1" applyAlignment="1">
      <alignment vertical="top" wrapText="1"/>
    </xf>
    <xf numFmtId="0" fontId="2" fillId="0" borderId="22" xfId="0" applyFont="1" applyBorder="1"/>
    <xf numFmtId="0" fontId="2" fillId="0" borderId="37" xfId="0" applyFont="1" applyBorder="1"/>
    <xf numFmtId="0" fontId="2" fillId="0" borderId="17" xfId="0" applyFont="1" applyBorder="1"/>
    <xf numFmtId="168" fontId="2" fillId="0" borderId="17" xfId="0" applyNumberFormat="1" applyFont="1" applyBorder="1"/>
    <xf numFmtId="164" fontId="2" fillId="0" borderId="17" xfId="0" applyNumberFormat="1" applyFont="1" applyBorder="1"/>
    <xf numFmtId="168" fontId="2" fillId="0" borderId="36" xfId="0" applyNumberFormat="1" applyFont="1" applyBorder="1"/>
    <xf numFmtId="49" fontId="2" fillId="0" borderId="24" xfId="0" applyNumberFormat="1" applyFont="1" applyBorder="1" applyAlignment="1">
      <alignment horizontal="center"/>
    </xf>
    <xf numFmtId="164" fontId="2" fillId="0" borderId="51" xfId="0" applyNumberFormat="1" applyFont="1" applyBorder="1"/>
    <xf numFmtId="0" fontId="2" fillId="0" borderId="63" xfId="0" applyFont="1" applyBorder="1"/>
    <xf numFmtId="168" fontId="2" fillId="0" borderId="63" xfId="0" applyNumberFormat="1" applyFont="1" applyBorder="1"/>
    <xf numFmtId="164" fontId="2" fillId="0" borderId="63" xfId="0" applyNumberFormat="1" applyFont="1" applyBorder="1"/>
    <xf numFmtId="49" fontId="2" fillId="0" borderId="38" xfId="0" applyNumberFormat="1" applyFont="1" applyBorder="1" applyAlignment="1">
      <alignment horizontal="center"/>
    </xf>
    <xf numFmtId="168" fontId="2" fillId="0" borderId="39" xfId="0" applyNumberFormat="1" applyFont="1" applyBorder="1"/>
    <xf numFmtId="0" fontId="2" fillId="0" borderId="1" xfId="0" applyFont="1" applyBorder="1"/>
    <xf numFmtId="0" fontId="2" fillId="0" borderId="3" xfId="0" applyFont="1" applyBorder="1"/>
    <xf numFmtId="0" fontId="2" fillId="0" borderId="0" xfId="0" applyFont="1" applyAlignment="1">
      <alignment horizontal="centerContinuous"/>
    </xf>
    <xf numFmtId="0" fontId="2" fillId="0" borderId="4" xfId="0" applyFont="1" applyBorder="1"/>
    <xf numFmtId="0" fontId="2" fillId="0" borderId="5" xfId="0" applyFont="1" applyBorder="1"/>
    <xf numFmtId="167" fontId="2" fillId="0" borderId="17" xfId="0" applyNumberFormat="1" applyFont="1" applyBorder="1"/>
    <xf numFmtId="1" fontId="2" fillId="0" borderId="4" xfId="0" applyNumberFormat="1" applyFont="1" applyBorder="1" applyAlignment="1">
      <alignment horizontal="right"/>
    </xf>
    <xf numFmtId="1" fontId="2" fillId="0" borderId="5" xfId="0" applyNumberFormat="1" applyFont="1" applyBorder="1" applyAlignment="1">
      <alignment horizontal="right"/>
    </xf>
    <xf numFmtId="168" fontId="2" fillId="0" borderId="5" xfId="0" applyNumberFormat="1" applyFont="1" applyBorder="1"/>
    <xf numFmtId="1" fontId="2" fillId="0" borderId="4" xfId="0" applyNumberFormat="1" applyFont="1" applyBorder="1"/>
    <xf numFmtId="1" fontId="2" fillId="0" borderId="5" xfId="0" applyNumberFormat="1" applyFont="1" applyBorder="1"/>
    <xf numFmtId="0" fontId="2" fillId="0" borderId="0" xfId="0" applyFont="1" applyAlignment="1">
      <alignment horizontal="right" vertical="center"/>
    </xf>
    <xf numFmtId="0" fontId="2" fillId="0" borderId="6" xfId="0" applyFont="1" applyBorder="1"/>
    <xf numFmtId="0" fontId="2" fillId="0" borderId="8" xfId="0" applyFont="1" applyBorder="1"/>
    <xf numFmtId="167" fontId="2" fillId="0" borderId="63" xfId="0" applyNumberFormat="1" applyFont="1" applyBorder="1"/>
    <xf numFmtId="168" fontId="2" fillId="0" borderId="8" xfId="0" applyNumberFormat="1" applyFont="1" applyBorder="1"/>
    <xf numFmtId="1" fontId="2" fillId="0" borderId="6" xfId="0" applyNumberFormat="1" applyFont="1" applyBorder="1"/>
    <xf numFmtId="1" fontId="2" fillId="0" borderId="8" xfId="0" applyNumberFormat="1" applyFont="1" applyBorder="1"/>
    <xf numFmtId="0" fontId="2" fillId="0" borderId="0" xfId="0" applyFont="1" applyAlignment="1">
      <alignment horizontal="right"/>
    </xf>
    <xf numFmtId="0" fontId="2" fillId="0" borderId="2" xfId="0" applyFont="1" applyBorder="1"/>
    <xf numFmtId="2" fontId="2" fillId="0" borderId="5" xfId="0" applyNumberFormat="1" applyFont="1" applyBorder="1"/>
    <xf numFmtId="0" fontId="2" fillId="0" borderId="7" xfId="0" applyFont="1" applyBorder="1"/>
    <xf numFmtId="2" fontId="2" fillId="0" borderId="8" xfId="0" applyNumberFormat="1" applyFont="1" applyBorder="1"/>
    <xf numFmtId="0" fontId="2" fillId="0" borderId="34" xfId="0" applyFont="1" applyBorder="1"/>
    <xf numFmtId="2" fontId="2" fillId="0" borderId="42" xfId="0" applyNumberFormat="1" applyFont="1" applyBorder="1" applyAlignment="1">
      <alignment horizontal="left"/>
    </xf>
    <xf numFmtId="0" fontId="2" fillId="0" borderId="35" xfId="0" applyFont="1" applyBorder="1"/>
    <xf numFmtId="2" fontId="2" fillId="0" borderId="0" xfId="0" applyNumberFormat="1" applyFont="1" applyAlignment="1">
      <alignment horizontal="left"/>
    </xf>
    <xf numFmtId="168" fontId="2" fillId="0" borderId="24" xfId="0" applyNumberFormat="1" applyFont="1" applyBorder="1"/>
    <xf numFmtId="0" fontId="2" fillId="0" borderId="20" xfId="0" applyFont="1" applyBorder="1"/>
    <xf numFmtId="168" fontId="2" fillId="0" borderId="20" xfId="0" applyNumberFormat="1" applyFont="1" applyBorder="1"/>
    <xf numFmtId="2" fontId="2" fillId="0" borderId="20" xfId="0" applyNumberFormat="1" applyFont="1" applyBorder="1"/>
    <xf numFmtId="168" fontId="2" fillId="0" borderId="34" xfId="0" applyNumberFormat="1" applyFont="1" applyBorder="1"/>
    <xf numFmtId="0" fontId="2" fillId="0" borderId="29" xfId="0" applyFont="1" applyBorder="1"/>
    <xf numFmtId="168" fontId="2" fillId="0" borderId="42" xfId="0" applyNumberFormat="1" applyFont="1" applyBorder="1"/>
    <xf numFmtId="170" fontId="2" fillId="0" borderId="42" xfId="0" applyNumberFormat="1" applyFont="1" applyBorder="1"/>
    <xf numFmtId="170" fontId="2" fillId="0" borderId="0" xfId="0" applyNumberFormat="1" applyFont="1"/>
    <xf numFmtId="168" fontId="2" fillId="0" borderId="38" xfId="0" applyNumberFormat="1" applyFont="1" applyBorder="1"/>
    <xf numFmtId="168" fontId="2" fillId="0" borderId="28" xfId="0" applyNumberFormat="1" applyFont="1" applyBorder="1"/>
    <xf numFmtId="170" fontId="2" fillId="0" borderId="28" xfId="0" applyNumberFormat="1" applyFont="1" applyBorder="1"/>
    <xf numFmtId="9" fontId="2" fillId="0" borderId="0" xfId="3" applyFont="1" applyProtection="1"/>
    <xf numFmtId="1" fontId="0" fillId="0" borderId="51" xfId="0" applyNumberFormat="1" applyBorder="1" applyAlignment="1">
      <alignment horizontal="center" vertical="center"/>
    </xf>
    <xf numFmtId="49" fontId="18" fillId="0" borderId="19" xfId="0" applyNumberFormat="1" applyFont="1" applyBorder="1" applyAlignment="1">
      <alignment horizontal="center" vertical="center"/>
    </xf>
    <xf numFmtId="49" fontId="18" fillId="0" borderId="14" xfId="0" applyNumberFormat="1" applyFont="1" applyBorder="1" applyAlignment="1">
      <alignment horizontal="center" vertical="center"/>
    </xf>
    <xf numFmtId="49" fontId="18" fillId="0" borderId="53" xfId="0" applyNumberFormat="1" applyFont="1" applyBorder="1" applyAlignment="1">
      <alignment horizontal="center" vertical="center"/>
    </xf>
    <xf numFmtId="0" fontId="18" fillId="0" borderId="0" xfId="0" applyFont="1" applyAlignment="1">
      <alignment horizontal="center" vertical="center"/>
    </xf>
    <xf numFmtId="1" fontId="0" fillId="0" borderId="0" xfId="0" applyNumberFormat="1" applyAlignment="1">
      <alignment horizontal="center" vertical="center"/>
    </xf>
    <xf numFmtId="174" fontId="0" fillId="0" borderId="51" xfId="0" applyNumberFormat="1" applyBorder="1" applyAlignment="1">
      <alignment horizontal="center" vertical="center"/>
    </xf>
    <xf numFmtId="0" fontId="0" fillId="0" borderId="57"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58" xfId="0" applyBorder="1" applyAlignment="1">
      <alignment horizontal="center" vertical="center"/>
    </xf>
    <xf numFmtId="0" fontId="0" fillId="0" borderId="60" xfId="0" applyBorder="1" applyAlignment="1">
      <alignment horizontal="center" vertical="center"/>
    </xf>
    <xf numFmtId="0" fontId="0" fillId="0" borderId="55" xfId="0" applyBorder="1" applyAlignment="1">
      <alignment horizontal="center" vertical="center"/>
    </xf>
    <xf numFmtId="0" fontId="0" fillId="0" borderId="61" xfId="0" applyBorder="1" applyAlignment="1">
      <alignment horizontal="center" vertical="center"/>
    </xf>
    <xf numFmtId="174" fontId="0" fillId="0" borderId="12" xfId="0" applyNumberFormat="1" applyBorder="1" applyAlignment="1">
      <alignment horizontal="center" vertical="center"/>
    </xf>
    <xf numFmtId="174" fontId="0" fillId="0" borderId="55" xfId="0" applyNumberFormat="1" applyBorder="1" applyAlignment="1">
      <alignment horizontal="center" vertical="center"/>
    </xf>
    <xf numFmtId="2" fontId="0" fillId="0" borderId="51" xfId="0" applyNumberFormat="1" applyBorder="1" applyAlignment="1">
      <alignment horizontal="center" vertical="center"/>
    </xf>
    <xf numFmtId="0" fontId="0" fillId="0" borderId="0" xfId="0" applyAlignment="1">
      <alignment horizontal="center" vertical="center"/>
    </xf>
    <xf numFmtId="49" fontId="18" fillId="0" borderId="0" xfId="0" applyNumberFormat="1" applyFont="1" applyAlignment="1">
      <alignment horizontal="center" vertical="center"/>
    </xf>
    <xf numFmtId="0" fontId="0" fillId="0" borderId="8" xfId="0" applyBorder="1" applyAlignment="1">
      <alignment horizontal="center" vertical="center"/>
    </xf>
    <xf numFmtId="0" fontId="0" fillId="0" borderId="50" xfId="0" applyBorder="1" applyAlignment="1">
      <alignment horizontal="center" vertical="center"/>
    </xf>
    <xf numFmtId="0" fontId="0" fillId="0" borderId="54" xfId="0" applyBorder="1" applyAlignment="1">
      <alignment horizontal="center" vertical="center"/>
    </xf>
    <xf numFmtId="0" fontId="22" fillId="0" borderId="19" xfId="0" applyFont="1" applyBorder="1" applyAlignment="1">
      <alignment horizontal="left" vertical="center"/>
    </xf>
    <xf numFmtId="14" fontId="23" fillId="0" borderId="7" xfId="0" applyNumberFormat="1" applyFont="1" applyBorder="1" applyAlignment="1">
      <alignment horizontal="left"/>
    </xf>
    <xf numFmtId="0" fontId="22" fillId="0" borderId="22" xfId="0" applyFont="1" applyBorder="1"/>
    <xf numFmtId="0" fontId="22" fillId="0" borderId="22" xfId="0" applyFont="1" applyBorder="1" applyAlignment="1">
      <alignment horizontal="center"/>
    </xf>
    <xf numFmtId="0" fontId="22" fillId="0" borderId="18" xfId="0" applyFont="1" applyBorder="1" applyAlignment="1">
      <alignment horizontal="center"/>
    </xf>
    <xf numFmtId="0" fontId="21" fillId="7" borderId="63" xfId="0" applyFont="1" applyFill="1" applyBorder="1" applyAlignment="1" applyProtection="1">
      <alignment horizontal="center"/>
      <protection locked="0"/>
    </xf>
    <xf numFmtId="0" fontId="21" fillId="7" borderId="68" xfId="0" applyFont="1" applyFill="1" applyBorder="1" applyAlignment="1" applyProtection="1">
      <alignment horizontal="center"/>
      <protection locked="0"/>
    </xf>
    <xf numFmtId="0" fontId="21" fillId="7" borderId="23" xfId="0" applyFont="1" applyFill="1" applyBorder="1" applyAlignment="1" applyProtection="1">
      <alignment horizontal="center"/>
      <protection locked="0"/>
    </xf>
    <xf numFmtId="0" fontId="20" fillId="0" borderId="63" xfId="0" applyFont="1" applyBorder="1" applyAlignment="1">
      <alignment horizontal="center"/>
    </xf>
    <xf numFmtId="0" fontId="0" fillId="0" borderId="0" xfId="0" applyAlignment="1">
      <alignment vertical="center"/>
    </xf>
    <xf numFmtId="0" fontId="22" fillId="0" borderId="1" xfId="0" applyFont="1" applyBorder="1" applyAlignment="1">
      <alignment horizontal="center"/>
    </xf>
    <xf numFmtId="49" fontId="21" fillId="7" borderId="6" xfId="0" applyNumberFormat="1" applyFont="1" applyFill="1" applyBorder="1" applyAlignment="1" applyProtection="1">
      <alignment horizontal="center"/>
      <protection locked="0"/>
    </xf>
    <xf numFmtId="0" fontId="21" fillId="7" borderId="26" xfId="0" applyFont="1" applyFill="1" applyBorder="1" applyAlignment="1" applyProtection="1">
      <alignment horizontal="center"/>
      <protection locked="0"/>
    </xf>
    <xf numFmtId="0" fontId="21" fillId="7" borderId="29" xfId="0" applyFont="1" applyFill="1" applyBorder="1" applyAlignment="1" applyProtection="1">
      <alignment horizontal="center"/>
      <protection locked="0"/>
    </xf>
    <xf numFmtId="0" fontId="22" fillId="0" borderId="34" xfId="0" applyFont="1" applyBorder="1"/>
    <xf numFmtId="0" fontId="22" fillId="0" borderId="42" xfId="0" applyFont="1" applyBorder="1"/>
    <xf numFmtId="0" fontId="22" fillId="0" borderId="35" xfId="0" applyFont="1" applyBorder="1"/>
    <xf numFmtId="0" fontId="22" fillId="0" borderId="24" xfId="0" applyFont="1" applyBorder="1"/>
    <xf numFmtId="0" fontId="22" fillId="0" borderId="0" xfId="0" applyFont="1"/>
    <xf numFmtId="0" fontId="0" fillId="0" borderId="20" xfId="0" applyBorder="1"/>
    <xf numFmtId="0" fontId="0" fillId="0" borderId="33" xfId="0" applyBorder="1" applyAlignment="1">
      <alignment horizontal="center" vertical="center"/>
    </xf>
    <xf numFmtId="0" fontId="20" fillId="0" borderId="72" xfId="0" applyFont="1" applyBorder="1" applyAlignment="1">
      <alignment horizontal="right" vertical="center"/>
    </xf>
    <xf numFmtId="0" fontId="26" fillId="0" borderId="72" xfId="0" applyFont="1" applyBorder="1" applyAlignment="1">
      <alignment horizontal="center" vertical="center"/>
    </xf>
    <xf numFmtId="0" fontId="20" fillId="0" borderId="49" xfId="0" applyFont="1" applyBorder="1" applyAlignment="1">
      <alignment horizontal="right" vertical="center"/>
    </xf>
    <xf numFmtId="0" fontId="20" fillId="0" borderId="43" xfId="0" applyFont="1" applyBorder="1" applyAlignment="1">
      <alignment horizontal="right" vertical="center"/>
    </xf>
    <xf numFmtId="0" fontId="26" fillId="0" borderId="39" xfId="0" applyFont="1" applyBorder="1" applyAlignment="1">
      <alignment horizontal="center" vertical="center"/>
    </xf>
    <xf numFmtId="0" fontId="26" fillId="0" borderId="33" xfId="0" applyFont="1" applyBorder="1" applyAlignment="1">
      <alignment horizontal="center" vertical="center"/>
    </xf>
    <xf numFmtId="0" fontId="0" fillId="0" borderId="24" xfId="0" applyBorder="1"/>
    <xf numFmtId="0" fontId="26" fillId="0" borderId="31" xfId="0" applyFont="1" applyBorder="1" applyAlignment="1">
      <alignment horizontal="center" vertical="center"/>
    </xf>
    <xf numFmtId="0" fontId="25" fillId="0" borderId="72" xfId="0" applyFont="1" applyBorder="1" applyAlignment="1">
      <alignment horizontal="right" vertical="center"/>
    </xf>
    <xf numFmtId="0" fontId="26" fillId="0" borderId="7" xfId="0" applyFont="1" applyBorder="1" applyAlignment="1">
      <alignment horizontal="center" vertical="center"/>
    </xf>
    <xf numFmtId="0" fontId="25" fillId="0" borderId="49" xfId="0" applyFont="1" applyBorder="1" applyAlignment="1">
      <alignment horizontal="right" vertical="center"/>
    </xf>
    <xf numFmtId="0" fontId="26" fillId="0" borderId="9" xfId="0" applyFont="1" applyBorder="1" applyAlignment="1">
      <alignment horizontal="center" vertical="center"/>
    </xf>
    <xf numFmtId="0" fontId="0" fillId="0" borderId="40" xfId="0" applyBorder="1" applyAlignment="1">
      <alignment horizontal="center" vertical="center"/>
    </xf>
    <xf numFmtId="0" fontId="0" fillId="0" borderId="23" xfId="0" applyBorder="1" applyAlignment="1">
      <alignment horizontal="center" vertical="center"/>
    </xf>
    <xf numFmtId="0" fontId="25" fillId="0" borderId="43" xfId="0" applyFont="1" applyBorder="1" applyAlignment="1">
      <alignment horizontal="right" vertical="center"/>
    </xf>
    <xf numFmtId="0" fontId="26" fillId="0" borderId="44" xfId="0" applyFont="1" applyBorder="1" applyAlignment="1">
      <alignment horizontal="center" vertical="center"/>
    </xf>
    <xf numFmtId="0" fontId="0" fillId="0" borderId="38" xfId="0" applyBorder="1"/>
    <xf numFmtId="0" fontId="0" fillId="0" borderId="28" xfId="0" applyBorder="1"/>
    <xf numFmtId="0" fontId="0" fillId="0" borderId="29" xfId="0" applyBorder="1"/>
    <xf numFmtId="0" fontId="0" fillId="0" borderId="42" xfId="0" applyBorder="1"/>
    <xf numFmtId="0" fontId="0" fillId="0" borderId="35" xfId="0" applyBorder="1"/>
    <xf numFmtId="164" fontId="26" fillId="0" borderId="40" xfId="0" applyNumberFormat="1" applyFont="1" applyBorder="1" applyAlignment="1">
      <alignment horizontal="center" vertical="center"/>
    </xf>
    <xf numFmtId="164" fontId="26" fillId="0" borderId="49" xfId="0" applyNumberFormat="1" applyFont="1" applyBorder="1" applyAlignment="1">
      <alignment horizontal="center" vertical="center"/>
    </xf>
    <xf numFmtId="164" fontId="26" fillId="0" borderId="43" xfId="0" applyNumberFormat="1" applyFont="1" applyBorder="1" applyAlignment="1">
      <alignment horizontal="center" vertical="center"/>
    </xf>
    <xf numFmtId="0" fontId="0" fillId="0" borderId="0" xfId="0" applyAlignment="1">
      <alignment wrapText="1"/>
    </xf>
    <xf numFmtId="164" fontId="26" fillId="0" borderId="74" xfId="0" applyNumberFormat="1" applyFont="1" applyBorder="1" applyAlignment="1">
      <alignment horizontal="center" vertical="center"/>
    </xf>
    <xf numFmtId="164" fontId="26" fillId="0" borderId="33" xfId="0" applyNumberFormat="1" applyFont="1" applyBorder="1" applyAlignment="1">
      <alignment horizontal="center" vertical="center"/>
    </xf>
    <xf numFmtId="49" fontId="22" fillId="0" borderId="28" xfId="0" applyNumberFormat="1" applyFont="1" applyBorder="1" applyAlignment="1">
      <alignment horizontal="center" vertical="center"/>
    </xf>
    <xf numFmtId="2" fontId="22" fillId="0" borderId="28" xfId="0" applyNumberFormat="1" applyFont="1" applyBorder="1" applyAlignment="1">
      <alignment horizontal="center" vertical="center"/>
    </xf>
    <xf numFmtId="164" fontId="22" fillId="0" borderId="28" xfId="0" applyNumberFormat="1" applyFont="1" applyBorder="1" applyAlignment="1">
      <alignment horizontal="center" vertical="center"/>
    </xf>
    <xf numFmtId="0" fontId="20" fillId="0" borderId="28" xfId="0" applyFont="1" applyBorder="1" applyAlignment="1">
      <alignment horizontal="center" vertical="center"/>
    </xf>
    <xf numFmtId="164" fontId="26" fillId="0" borderId="29" xfId="0" applyNumberFormat="1" applyFont="1" applyBorder="1" applyAlignment="1">
      <alignment horizontal="center" vertical="center"/>
    </xf>
    <xf numFmtId="0" fontId="22" fillId="0" borderId="20" xfId="0" applyFont="1" applyBorder="1"/>
    <xf numFmtId="0" fontId="18" fillId="0" borderId="33" xfId="0" applyFont="1" applyBorder="1" applyAlignment="1">
      <alignment horizontal="center" vertical="center"/>
    </xf>
    <xf numFmtId="0" fontId="18" fillId="0" borderId="32" xfId="0" applyFont="1" applyBorder="1" applyAlignment="1">
      <alignment horizontal="center" vertical="center"/>
    </xf>
    <xf numFmtId="0" fontId="18" fillId="0" borderId="72" xfId="0" applyFont="1" applyBorder="1" applyAlignment="1">
      <alignment horizontal="center" vertical="center" wrapText="1"/>
    </xf>
    <xf numFmtId="0" fontId="18" fillId="0" borderId="7" xfId="0" applyFont="1" applyBorder="1" applyAlignment="1">
      <alignment horizontal="center" vertical="center" wrapText="1"/>
    </xf>
    <xf numFmtId="0" fontId="22" fillId="0" borderId="24" xfId="0" applyFont="1" applyBorder="1" applyAlignment="1">
      <alignment wrapText="1"/>
    </xf>
    <xf numFmtId="0" fontId="18" fillId="0" borderId="2" xfId="0" applyFont="1" applyBorder="1" applyAlignment="1">
      <alignment horizontal="center" vertical="center"/>
    </xf>
    <xf numFmtId="0" fontId="22" fillId="0" borderId="20" xfId="0" applyFont="1" applyBorder="1" applyAlignment="1">
      <alignment wrapText="1"/>
    </xf>
    <xf numFmtId="0" fontId="22" fillId="0" borderId="36" xfId="0" applyFont="1" applyBorder="1"/>
    <xf numFmtId="164" fontId="18" fillId="0" borderId="43" xfId="0" applyNumberFormat="1" applyFont="1" applyBorder="1" applyAlignment="1">
      <alignment horizontal="center" vertical="center" wrapText="1"/>
    </xf>
    <xf numFmtId="0" fontId="22" fillId="0" borderId="0" xfId="0" applyFont="1" applyAlignment="1">
      <alignment horizontal="center" vertical="center"/>
    </xf>
    <xf numFmtId="0" fontId="22" fillId="0" borderId="38" xfId="0" applyFont="1" applyBorder="1"/>
    <xf numFmtId="0" fontId="22" fillId="0" borderId="29" xfId="0" applyFont="1" applyBorder="1" applyAlignment="1">
      <alignment horizontal="center"/>
    </xf>
    <xf numFmtId="0" fontId="22" fillId="0" borderId="34" xfId="0" applyFont="1" applyBorder="1" applyAlignment="1">
      <alignment horizontal="center"/>
    </xf>
    <xf numFmtId="0" fontId="22" fillId="0" borderId="42" xfId="0" applyFont="1" applyBorder="1" applyAlignment="1">
      <alignment horizontal="center"/>
    </xf>
    <xf numFmtId="0" fontId="22" fillId="0" borderId="35" xfId="0" applyFont="1" applyBorder="1" applyAlignment="1">
      <alignment horizontal="center"/>
    </xf>
    <xf numFmtId="0" fontId="22" fillId="0" borderId="0" xfId="0" applyFont="1" applyAlignment="1">
      <alignment horizontal="center"/>
    </xf>
    <xf numFmtId="0" fontId="22" fillId="0" borderId="20" xfId="0" applyFont="1" applyBorder="1" applyAlignment="1">
      <alignment horizontal="center"/>
    </xf>
    <xf numFmtId="14" fontId="23" fillId="0" borderId="7" xfId="0" applyNumberFormat="1" applyFont="1" applyBorder="1" applyAlignment="1">
      <alignment horizontal="left" vertical="center"/>
    </xf>
    <xf numFmtId="0" fontId="31" fillId="0" borderId="0" xfId="0" applyFont="1" applyProtection="1">
      <protection hidden="1"/>
    </xf>
    <xf numFmtId="0" fontId="34" fillId="0" borderId="0" xfId="0" applyFont="1" applyAlignment="1" applyProtection="1">
      <alignment vertical="center" wrapText="1"/>
      <protection hidden="1"/>
    </xf>
    <xf numFmtId="164" fontId="34" fillId="0" borderId="0" xfId="0" applyNumberFormat="1" applyFont="1" applyAlignment="1" applyProtection="1">
      <alignment horizontal="left" vertical="top" wrapText="1"/>
      <protection hidden="1"/>
    </xf>
    <xf numFmtId="0" fontId="31" fillId="0" borderId="24" xfId="0" applyFont="1" applyBorder="1" applyAlignment="1" applyProtection="1">
      <alignment horizontal="left"/>
      <protection hidden="1"/>
    </xf>
    <xf numFmtId="0" fontId="31" fillId="0" borderId="0" xfId="0" applyFont="1" applyAlignment="1" applyProtection="1">
      <alignment horizontal="left"/>
      <protection hidden="1"/>
    </xf>
    <xf numFmtId="0" fontId="35" fillId="0" borderId="0" xfId="0" applyFont="1" applyProtection="1">
      <protection hidden="1"/>
    </xf>
    <xf numFmtId="14" fontId="31" fillId="0" borderId="0" xfId="0" applyNumberFormat="1" applyFont="1" applyProtection="1">
      <protection hidden="1"/>
    </xf>
    <xf numFmtId="0" fontId="31" fillId="0" borderId="38" xfId="0" applyFont="1" applyBorder="1" applyAlignment="1" applyProtection="1">
      <alignment horizontal="center" vertical="center" wrapText="1"/>
      <protection hidden="1"/>
    </xf>
    <xf numFmtId="0" fontId="31" fillId="0" borderId="33" xfId="0" applyFont="1" applyBorder="1" applyAlignment="1" applyProtection="1">
      <alignment horizontal="center" vertical="center" wrapText="1"/>
      <protection hidden="1"/>
    </xf>
    <xf numFmtId="0" fontId="31" fillId="0" borderId="33" xfId="0" applyFont="1" applyBorder="1" applyAlignment="1" applyProtection="1">
      <alignment horizontal="center" vertical="center"/>
      <protection hidden="1"/>
    </xf>
    <xf numFmtId="0" fontId="31" fillId="0" borderId="0" xfId="0" applyFont="1" applyAlignment="1" applyProtection="1">
      <alignment vertical="center" wrapText="1"/>
      <protection hidden="1"/>
    </xf>
    <xf numFmtId="0" fontId="29" fillId="0" borderId="19" xfId="0" applyFont="1" applyBorder="1" applyAlignment="1">
      <alignment horizontal="right" vertical="center"/>
    </xf>
    <xf numFmtId="168" fontId="29" fillId="7" borderId="72" xfId="0" applyNumberFormat="1" applyFont="1" applyFill="1" applyBorder="1" applyAlignment="1" applyProtection="1">
      <alignment horizontal="center" vertical="center"/>
      <protection locked="0"/>
    </xf>
    <xf numFmtId="168" fontId="31" fillId="0" borderId="72" xfId="0" applyNumberFormat="1" applyFont="1" applyBorder="1" applyAlignment="1">
      <alignment horizontal="center" vertical="center"/>
    </xf>
    <xf numFmtId="0" fontId="29" fillId="0" borderId="14" xfId="0" applyFont="1" applyBorder="1" applyAlignment="1">
      <alignment horizontal="right" vertical="center"/>
    </xf>
    <xf numFmtId="168" fontId="29" fillId="7" borderId="49" xfId="0" applyNumberFormat="1" applyFont="1" applyFill="1" applyBorder="1" applyAlignment="1" applyProtection="1">
      <alignment horizontal="center" vertical="center"/>
      <protection locked="0"/>
    </xf>
    <xf numFmtId="168" fontId="31" fillId="0" borderId="49" xfId="0" applyNumberFormat="1" applyFont="1" applyBorder="1" applyAlignment="1">
      <alignment horizontal="center" vertical="center"/>
    </xf>
    <xf numFmtId="168" fontId="31" fillId="0" borderId="49" xfId="0" applyNumberFormat="1" applyFont="1" applyBorder="1" applyAlignment="1">
      <alignment horizontal="center"/>
    </xf>
    <xf numFmtId="168" fontId="29" fillId="7" borderId="49" xfId="0" applyNumberFormat="1" applyFont="1" applyFill="1" applyBorder="1" applyAlignment="1" applyProtection="1">
      <alignment horizontal="center"/>
      <protection locked="0"/>
    </xf>
    <xf numFmtId="168" fontId="31" fillId="0" borderId="72" xfId="0" applyNumberFormat="1" applyFont="1" applyBorder="1" applyAlignment="1">
      <alignment horizontal="center"/>
    </xf>
    <xf numFmtId="0" fontId="29" fillId="0" borderId="38" xfId="0" applyFont="1" applyBorder="1" applyAlignment="1">
      <alignment horizontal="right" vertical="center"/>
    </xf>
    <xf numFmtId="168" fontId="29" fillId="7" borderId="43" xfId="0" applyNumberFormat="1" applyFont="1" applyFill="1" applyBorder="1" applyAlignment="1" applyProtection="1">
      <alignment horizontal="center"/>
      <protection locked="0"/>
    </xf>
    <xf numFmtId="168" fontId="29" fillId="7" borderId="43" xfId="0" applyNumberFormat="1" applyFont="1" applyFill="1" applyBorder="1" applyAlignment="1" applyProtection="1">
      <alignment horizontal="center" vertical="center"/>
      <protection locked="0"/>
    </xf>
    <xf numFmtId="168" fontId="31" fillId="0" borderId="39" xfId="0" applyNumberFormat="1" applyFont="1" applyBorder="1" applyAlignment="1">
      <alignment horizontal="center"/>
    </xf>
    <xf numFmtId="0" fontId="29" fillId="0" borderId="0" xfId="0" applyFont="1" applyProtection="1">
      <protection hidden="1"/>
    </xf>
    <xf numFmtId="0" fontId="29" fillId="0" borderId="0" xfId="0" applyFont="1" applyAlignment="1" applyProtection="1">
      <alignment horizontal="center"/>
      <protection hidden="1"/>
    </xf>
    <xf numFmtId="1" fontId="29" fillId="0" borderId="0" xfId="0" applyNumberFormat="1" applyFont="1" applyAlignment="1" applyProtection="1">
      <alignment horizontal="center"/>
      <protection hidden="1"/>
    </xf>
    <xf numFmtId="167" fontId="29" fillId="7" borderId="33" xfId="0" applyNumberFormat="1" applyFont="1" applyFill="1" applyBorder="1" applyAlignment="1" applyProtection="1">
      <alignment horizontal="center"/>
      <protection locked="0"/>
    </xf>
    <xf numFmtId="0" fontId="29" fillId="0" borderId="0" xfId="0" applyFont="1" applyAlignment="1" applyProtection="1">
      <alignment horizontal="center" vertical="top"/>
      <protection hidden="1"/>
    </xf>
    <xf numFmtId="0" fontId="31" fillId="0" borderId="0" xfId="0" applyFont="1" applyAlignment="1" applyProtection="1">
      <alignment horizontal="left" vertical="top"/>
      <protection hidden="1"/>
    </xf>
    <xf numFmtId="166" fontId="35" fillId="0" borderId="0" xfId="0" applyNumberFormat="1" applyFont="1" applyAlignment="1" applyProtection="1">
      <alignment horizontal="center"/>
      <protection hidden="1"/>
    </xf>
    <xf numFmtId="0" fontId="36" fillId="0" borderId="0" xfId="0" applyFont="1" applyAlignment="1" applyProtection="1">
      <alignment horizontal="center"/>
      <protection hidden="1"/>
    </xf>
    <xf numFmtId="2" fontId="37" fillId="0" borderId="0" xfId="0" applyNumberFormat="1" applyFont="1" applyAlignment="1" applyProtection="1">
      <alignment horizontal="center"/>
      <protection hidden="1"/>
    </xf>
    <xf numFmtId="0" fontId="37" fillId="0" borderId="0" xfId="0" applyFont="1" applyAlignment="1" applyProtection="1">
      <alignment horizontal="center"/>
      <protection hidden="1"/>
    </xf>
    <xf numFmtId="165" fontId="31" fillId="0" borderId="0" xfId="0" applyNumberFormat="1" applyFont="1" applyProtection="1">
      <protection hidden="1"/>
    </xf>
    <xf numFmtId="0" fontId="31" fillId="0" borderId="24" xfId="0" applyFont="1" applyBorder="1" applyProtection="1">
      <protection hidden="1"/>
    </xf>
    <xf numFmtId="0" fontId="31" fillId="0" borderId="0" xfId="0" applyFont="1" applyAlignment="1" applyProtection="1">
      <alignment horizontal="center"/>
      <protection hidden="1"/>
    </xf>
    <xf numFmtId="0" fontId="31" fillId="0" borderId="20" xfId="0" applyFont="1" applyBorder="1" applyProtection="1">
      <protection hidden="1"/>
    </xf>
    <xf numFmtId="1" fontId="29" fillId="0" borderId="0" xfId="0" applyNumberFormat="1" applyFont="1" applyProtection="1">
      <protection hidden="1"/>
    </xf>
    <xf numFmtId="1" fontId="29" fillId="0" borderId="24" xfId="3" applyNumberFormat="1" applyFont="1" applyBorder="1" applyAlignment="1" applyProtection="1">
      <alignment horizontal="center" vertical="center"/>
      <protection hidden="1"/>
    </xf>
    <xf numFmtId="0" fontId="31" fillId="0" borderId="30" xfId="0" applyFont="1" applyBorder="1" applyAlignment="1">
      <alignment horizontal="center" vertical="center" wrapText="1"/>
    </xf>
    <xf numFmtId="0" fontId="31" fillId="0" borderId="33" xfId="0" applyFont="1" applyBorder="1" applyAlignment="1">
      <alignment horizontal="center" vertical="center" wrapText="1"/>
    </xf>
    <xf numFmtId="1" fontId="31" fillId="0" borderId="0" xfId="0" applyNumberFormat="1" applyFont="1" applyAlignment="1" applyProtection="1">
      <alignment horizontal="center" vertical="center" wrapText="1"/>
      <protection hidden="1"/>
    </xf>
    <xf numFmtId="0" fontId="31" fillId="0" borderId="0" xfId="0" applyFont="1" applyAlignment="1" applyProtection="1">
      <alignment vertical="center"/>
      <protection hidden="1"/>
    </xf>
    <xf numFmtId="0" fontId="29" fillId="0" borderId="33" xfId="0" applyFont="1" applyBorder="1" applyAlignment="1" applyProtection="1">
      <alignment horizontal="center" vertical="center"/>
      <protection hidden="1"/>
    </xf>
    <xf numFmtId="1" fontId="31" fillId="0" borderId="33" xfId="0" quotePrefix="1" applyNumberFormat="1" applyFont="1" applyBorder="1" applyAlignment="1">
      <alignment horizontal="center" vertical="center" wrapText="1"/>
    </xf>
    <xf numFmtId="1" fontId="31" fillId="0" borderId="33" xfId="0" applyNumberFormat="1" applyFont="1" applyBorder="1" applyAlignment="1">
      <alignment horizontal="center" vertical="center" wrapText="1"/>
    </xf>
    <xf numFmtId="1" fontId="31" fillId="0" borderId="30" xfId="0" applyNumberFormat="1" applyFont="1" applyBorder="1" applyAlignment="1">
      <alignment horizontal="center" vertical="center" wrapText="1"/>
    </xf>
    <xf numFmtId="0" fontId="31" fillId="0" borderId="0" xfId="3" applyNumberFormat="1" applyFont="1" applyFill="1" applyBorder="1" applyAlignment="1" applyProtection="1">
      <alignment horizontal="center" vertical="center"/>
    </xf>
    <xf numFmtId="164" fontId="31" fillId="0" borderId="0" xfId="3" applyNumberFormat="1" applyFont="1" applyFill="1" applyBorder="1" applyAlignment="1" applyProtection="1">
      <alignment horizontal="center" vertical="center"/>
    </xf>
    <xf numFmtId="0" fontId="31" fillId="0" borderId="0" xfId="0" applyFont="1" applyAlignment="1" applyProtection="1">
      <alignment horizontal="center" vertical="center"/>
      <protection hidden="1"/>
    </xf>
    <xf numFmtId="164" fontId="31" fillId="0" borderId="0" xfId="0" applyNumberFormat="1" applyFont="1" applyAlignment="1">
      <alignment horizontal="center" vertical="center"/>
    </xf>
    <xf numFmtId="2" fontId="38" fillId="0" borderId="0" xfId="0" applyNumberFormat="1" applyFont="1" applyAlignment="1" applyProtection="1">
      <alignment vertical="center"/>
      <protection hidden="1"/>
    </xf>
    <xf numFmtId="49" fontId="31" fillId="0" borderId="37" xfId="0" applyNumberFormat="1" applyFont="1" applyBorder="1" applyAlignment="1" applyProtection="1">
      <alignment horizontal="center"/>
      <protection hidden="1"/>
    </xf>
    <xf numFmtId="0" fontId="31" fillId="0" borderId="0" xfId="0" quotePrefix="1" applyFont="1" applyAlignment="1" applyProtection="1">
      <alignment horizontal="center" vertical="center"/>
      <protection hidden="1"/>
    </xf>
    <xf numFmtId="49" fontId="31" fillId="0" borderId="36" xfId="0" applyNumberFormat="1" applyFont="1" applyBorder="1" applyAlignment="1" applyProtection="1">
      <alignment horizontal="center"/>
      <protection hidden="1"/>
    </xf>
    <xf numFmtId="9" fontId="31" fillId="0" borderId="0" xfId="3" applyFont="1" applyFill="1" applyBorder="1" applyAlignment="1" applyProtection="1">
      <alignment horizontal="center"/>
    </xf>
    <xf numFmtId="173" fontId="39" fillId="0" borderId="0" xfId="3" applyNumberFormat="1" applyFont="1" applyBorder="1" applyAlignment="1" applyProtection="1">
      <alignment horizontal="center"/>
    </xf>
    <xf numFmtId="173" fontId="31" fillId="0" borderId="0" xfId="0" applyNumberFormat="1" applyFont="1" applyAlignment="1">
      <alignment horizontal="center"/>
    </xf>
    <xf numFmtId="167" fontId="31" fillId="0" borderId="0" xfId="0" applyNumberFormat="1" applyFont="1" applyAlignment="1">
      <alignment horizontal="center"/>
    </xf>
    <xf numFmtId="0" fontId="31" fillId="0" borderId="0" xfId="0" applyFont="1" applyAlignment="1">
      <alignment horizontal="center"/>
    </xf>
    <xf numFmtId="164" fontId="31" fillId="0" borderId="0" xfId="0" applyNumberFormat="1" applyFont="1" applyAlignment="1">
      <alignment horizontal="center"/>
    </xf>
    <xf numFmtId="49" fontId="31" fillId="0" borderId="39" xfId="0" applyNumberFormat="1" applyFont="1" applyBorder="1" applyAlignment="1" applyProtection="1">
      <alignment horizontal="center"/>
      <protection hidden="1"/>
    </xf>
    <xf numFmtId="49" fontId="29" fillId="0" borderId="39" xfId="0" applyNumberFormat="1" applyFont="1" applyBorder="1" applyAlignment="1" applyProtection="1">
      <alignment horizontal="center" vertical="center" wrapText="1"/>
      <protection hidden="1"/>
    </xf>
    <xf numFmtId="0" fontId="29" fillId="0" borderId="0" xfId="3" applyNumberFormat="1" applyFont="1" applyFill="1" applyBorder="1" applyAlignment="1" applyProtection="1">
      <alignment horizontal="center" vertical="center"/>
    </xf>
    <xf numFmtId="2" fontId="31" fillId="0" borderId="31" xfId="0" applyNumberFormat="1" applyFont="1" applyBorder="1" applyAlignment="1">
      <alignment horizontal="center"/>
    </xf>
    <xf numFmtId="0" fontId="38" fillId="0" borderId="0" xfId="0" applyFont="1" applyAlignment="1">
      <alignment horizontal="center"/>
    </xf>
    <xf numFmtId="2" fontId="29" fillId="0" borderId="0" xfId="0" applyNumberFormat="1" applyFont="1" applyProtection="1">
      <protection hidden="1"/>
    </xf>
    <xf numFmtId="49" fontId="31" fillId="0" borderId="0" xfId="0" applyNumberFormat="1" applyFont="1" applyProtection="1">
      <protection hidden="1"/>
    </xf>
    <xf numFmtId="167" fontId="40" fillId="0" borderId="0" xfId="0" applyNumberFormat="1" applyFont="1" applyProtection="1">
      <protection hidden="1"/>
    </xf>
    <xf numFmtId="164" fontId="36" fillId="0" borderId="0" xfId="0" applyNumberFormat="1" applyFont="1" applyAlignment="1" applyProtection="1">
      <alignment horizontal="center"/>
      <protection hidden="1"/>
    </xf>
    <xf numFmtId="167" fontId="29" fillId="0" borderId="0" xfId="0" applyNumberFormat="1" applyFont="1" applyProtection="1">
      <protection hidden="1"/>
    </xf>
    <xf numFmtId="0" fontId="29" fillId="0" borderId="0" xfId="0" applyFont="1" applyAlignment="1" applyProtection="1">
      <alignment horizontal="left" vertical="center"/>
      <protection hidden="1"/>
    </xf>
    <xf numFmtId="0" fontId="35" fillId="0" borderId="0" xfId="0" applyFont="1" applyAlignment="1" applyProtection="1">
      <alignment vertical="center"/>
      <protection hidden="1"/>
    </xf>
    <xf numFmtId="167" fontId="31" fillId="0" borderId="0" xfId="0" applyNumberFormat="1" applyFont="1" applyAlignment="1" applyProtection="1">
      <alignment horizontal="center" vertical="center"/>
      <protection hidden="1"/>
    </xf>
    <xf numFmtId="0" fontId="29" fillId="0" borderId="0" xfId="0" applyFont="1" applyAlignment="1">
      <alignment vertical="center"/>
    </xf>
    <xf numFmtId="0" fontId="31" fillId="0" borderId="0" xfId="0" applyFont="1" applyAlignment="1">
      <alignment vertical="center"/>
    </xf>
    <xf numFmtId="0" fontId="31" fillId="0" borderId="0" xfId="0" applyFont="1" applyAlignment="1">
      <alignment horizontal="center" vertical="center" wrapText="1"/>
    </xf>
    <xf numFmtId="0" fontId="31" fillId="0" borderId="0" xfId="0" applyFont="1" applyAlignment="1" applyProtection="1">
      <alignment horizontal="center" vertical="center" wrapText="1"/>
      <protection hidden="1"/>
    </xf>
    <xf numFmtId="167" fontId="31" fillId="0" borderId="0" xfId="0" applyNumberFormat="1" applyFont="1" applyAlignment="1" applyProtection="1">
      <alignment horizontal="center"/>
      <protection hidden="1"/>
    </xf>
    <xf numFmtId="2" fontId="31" fillId="0" borderId="0" xfId="0" applyNumberFormat="1" applyFont="1" applyAlignment="1" applyProtection="1">
      <alignment horizontal="center"/>
      <protection hidden="1"/>
    </xf>
    <xf numFmtId="167" fontId="31" fillId="0" borderId="0" xfId="0" applyNumberFormat="1" applyFont="1" applyProtection="1">
      <protection hidden="1"/>
    </xf>
    <xf numFmtId="168" fontId="41" fillId="0" borderId="0" xfId="0" applyNumberFormat="1" applyFont="1" applyProtection="1">
      <protection hidden="1"/>
    </xf>
    <xf numFmtId="49" fontId="41" fillId="0" borderId="0" xfId="0" applyNumberFormat="1" applyFont="1" applyProtection="1">
      <protection hidden="1"/>
    </xf>
    <xf numFmtId="0" fontId="41" fillId="0" borderId="0" xfId="0" applyFont="1" applyProtection="1">
      <protection hidden="1"/>
    </xf>
    <xf numFmtId="49" fontId="31" fillId="0" borderId="0" xfId="0" applyNumberFormat="1" applyFont="1" applyAlignment="1" applyProtection="1">
      <alignment horizontal="right"/>
      <protection hidden="1"/>
    </xf>
    <xf numFmtId="164" fontId="31" fillId="0" borderId="0" xfId="0" applyNumberFormat="1" applyFont="1" applyAlignment="1" applyProtection="1">
      <alignment horizontal="right"/>
      <protection hidden="1"/>
    </xf>
    <xf numFmtId="2" fontId="31" fillId="0" borderId="0" xfId="0" applyNumberFormat="1" applyFont="1" applyProtection="1">
      <protection hidden="1"/>
    </xf>
    <xf numFmtId="168" fontId="31" fillId="0" borderId="0" xfId="0" applyNumberFormat="1" applyFont="1" applyProtection="1">
      <protection hidden="1"/>
    </xf>
    <xf numFmtId="0" fontId="42" fillId="0" borderId="0" xfId="0" applyFont="1" applyAlignment="1" applyProtection="1">
      <alignment horizontal="center"/>
      <protection hidden="1"/>
    </xf>
    <xf numFmtId="0" fontId="31" fillId="0" borderId="0" xfId="0" applyFont="1"/>
    <xf numFmtId="0" fontId="31" fillId="0" borderId="0" xfId="0" applyFont="1" applyAlignment="1">
      <alignment horizontal="left"/>
    </xf>
    <xf numFmtId="0" fontId="43" fillId="0" borderId="0" xfId="0" applyFont="1" applyAlignment="1">
      <alignment vertical="center"/>
    </xf>
    <xf numFmtId="0" fontId="29" fillId="0" borderId="0" xfId="0" applyFont="1" applyAlignment="1">
      <alignment horizontal="centerContinuous"/>
    </xf>
    <xf numFmtId="169" fontId="31" fillId="0" borderId="0" xfId="0" applyNumberFormat="1" applyFont="1"/>
    <xf numFmtId="0" fontId="44" fillId="0" borderId="34" xfId="0" applyFont="1" applyBorder="1" applyAlignment="1">
      <alignment horizontal="left" vertical="center"/>
    </xf>
    <xf numFmtId="0" fontId="31" fillId="0" borderId="37" xfId="0" applyFont="1" applyBorder="1" applyAlignment="1">
      <alignment horizontal="center" vertical="center"/>
    </xf>
    <xf numFmtId="0" fontId="31" fillId="0" borderId="37" xfId="0" applyFont="1" applyBorder="1" applyAlignment="1">
      <alignment horizontal="center" vertical="center" wrapText="1"/>
    </xf>
    <xf numFmtId="2" fontId="31" fillId="0" borderId="37" xfId="0" applyNumberFormat="1" applyFont="1" applyBorder="1" applyAlignment="1">
      <alignment horizontal="center" vertical="center" wrapText="1"/>
    </xf>
    <xf numFmtId="0" fontId="29" fillId="0" borderId="0" xfId="0" applyFont="1" applyAlignment="1">
      <alignment horizontal="center" vertical="center"/>
    </xf>
    <xf numFmtId="169" fontId="31" fillId="0" borderId="0" xfId="0" applyNumberFormat="1" applyFont="1" applyAlignment="1">
      <alignment vertical="center"/>
    </xf>
    <xf numFmtId="0" fontId="31" fillId="0" borderId="37" xfId="0" applyFont="1" applyBorder="1" applyAlignment="1">
      <alignment horizontal="left"/>
    </xf>
    <xf numFmtId="0" fontId="31" fillId="0" borderId="36" xfId="0" applyFont="1" applyBorder="1" applyAlignment="1">
      <alignment horizontal="left"/>
    </xf>
    <xf numFmtId="2" fontId="29" fillId="7" borderId="20" xfId="0" applyNumberFormat="1" applyFont="1" applyFill="1" applyBorder="1" applyAlignment="1" applyProtection="1">
      <alignment horizontal="center"/>
      <protection locked="0"/>
    </xf>
    <xf numFmtId="172" fontId="34" fillId="0" borderId="0" xfId="0" applyNumberFormat="1" applyFont="1" applyAlignment="1">
      <alignment horizontal="center" vertical="center" wrapText="1"/>
    </xf>
    <xf numFmtId="0" fontId="31" fillId="0" borderId="39" xfId="0" applyFont="1" applyBorder="1" applyAlignment="1">
      <alignment horizontal="left"/>
    </xf>
    <xf numFmtId="2" fontId="29" fillId="7" borderId="29" xfId="0" applyNumberFormat="1" applyFont="1" applyFill="1" applyBorder="1" applyAlignment="1" applyProtection="1">
      <alignment horizontal="center"/>
      <protection locked="0"/>
    </xf>
    <xf numFmtId="0" fontId="29" fillId="0" borderId="0" xfId="0" applyFont="1" applyAlignment="1">
      <alignment horizontal="center"/>
    </xf>
    <xf numFmtId="0" fontId="31" fillId="0" borderId="0" xfId="0" applyFont="1" applyAlignment="1">
      <alignment horizontal="right"/>
    </xf>
    <xf numFmtId="1" fontId="36" fillId="0" borderId="0" xfId="0" applyNumberFormat="1" applyFont="1" applyAlignment="1">
      <alignment horizontal="center"/>
    </xf>
    <xf numFmtId="0" fontId="31" fillId="0" borderId="0" xfId="0" quotePrefix="1" applyFont="1"/>
    <xf numFmtId="0" fontId="45" fillId="0" borderId="0" xfId="0" applyFont="1" applyAlignment="1">
      <alignment vertical="center" wrapText="1"/>
    </xf>
    <xf numFmtId="0" fontId="31" fillId="0" borderId="0" xfId="0" applyFont="1" applyAlignment="1">
      <alignment horizontal="center" vertical="center"/>
    </xf>
    <xf numFmtId="164" fontId="36" fillId="0" borderId="0" xfId="0" applyNumberFormat="1" applyFont="1" applyAlignment="1">
      <alignment horizontal="center"/>
    </xf>
    <xf numFmtId="1" fontId="31" fillId="0" borderId="0" xfId="0" applyNumberFormat="1" applyFont="1"/>
    <xf numFmtId="0" fontId="29" fillId="7" borderId="31" xfId="0" applyFont="1" applyFill="1" applyBorder="1" applyAlignment="1" applyProtection="1">
      <alignment horizontal="center" vertical="center"/>
      <protection locked="0"/>
    </xf>
    <xf numFmtId="0" fontId="29" fillId="0" borderId="31" xfId="0" applyFont="1" applyBorder="1" applyAlignment="1">
      <alignment horizontal="center" vertical="center"/>
    </xf>
    <xf numFmtId="0" fontId="29" fillId="0" borderId="33" xfId="0" applyFont="1" applyBorder="1" applyAlignment="1">
      <alignment horizontal="center" vertical="center"/>
    </xf>
    <xf numFmtId="49" fontId="29" fillId="0" borderId="24" xfId="0" applyNumberFormat="1" applyFont="1" applyBorder="1" applyAlignment="1">
      <alignment horizontal="right" vertical="center"/>
    </xf>
    <xf numFmtId="49" fontId="29" fillId="0" borderId="0" xfId="0" applyNumberFormat="1" applyFont="1" applyAlignment="1">
      <alignment horizontal="right" vertical="center"/>
    </xf>
    <xf numFmtId="49" fontId="29" fillId="0" borderId="67" xfId="0" applyNumberFormat="1" applyFont="1" applyBorder="1" applyAlignment="1">
      <alignment horizontal="right" vertical="center"/>
    </xf>
    <xf numFmtId="165" fontId="47" fillId="0" borderId="68" xfId="0" applyNumberFormat="1" applyFont="1" applyBorder="1" applyAlignment="1">
      <alignment horizontal="center"/>
    </xf>
    <xf numFmtId="0" fontId="29" fillId="0" borderId="58" xfId="0" applyFont="1" applyBorder="1" applyAlignment="1">
      <alignment horizontal="right"/>
    </xf>
    <xf numFmtId="2" fontId="29" fillId="7" borderId="51" xfId="0" applyNumberFormat="1" applyFont="1" applyFill="1" applyBorder="1" applyAlignment="1" applyProtection="1">
      <alignment horizontal="center"/>
      <protection locked="0"/>
    </xf>
    <xf numFmtId="165" fontId="47" fillId="0" borderId="59" xfId="0" applyNumberFormat="1" applyFont="1" applyBorder="1" applyAlignment="1">
      <alignment horizontal="center"/>
    </xf>
    <xf numFmtId="164" fontId="29" fillId="7" borderId="51" xfId="0" applyNumberFormat="1" applyFont="1" applyFill="1" applyBorder="1" applyAlignment="1" applyProtection="1">
      <alignment horizontal="center"/>
      <protection locked="0"/>
    </xf>
    <xf numFmtId="0" fontId="47" fillId="0" borderId="59" xfId="0" quotePrefix="1" applyFont="1" applyBorder="1" applyAlignment="1">
      <alignment horizontal="center" vertical="center"/>
    </xf>
    <xf numFmtId="0" fontId="48" fillId="0" borderId="59" xfId="0" quotePrefix="1" applyFont="1" applyBorder="1"/>
    <xf numFmtId="1" fontId="29" fillId="7" borderId="51" xfId="0" applyNumberFormat="1" applyFont="1" applyFill="1" applyBorder="1" applyAlignment="1" applyProtection="1">
      <alignment horizontal="center"/>
      <protection locked="0"/>
    </xf>
    <xf numFmtId="0" fontId="39" fillId="0" borderId="59" xfId="0" quotePrefix="1" applyFont="1" applyBorder="1"/>
    <xf numFmtId="0" fontId="29" fillId="0" borderId="60" xfId="0" applyFont="1" applyBorder="1" applyAlignment="1">
      <alignment horizontal="right" wrapText="1"/>
    </xf>
    <xf numFmtId="164" fontId="29" fillId="7" borderId="55" xfId="0" applyNumberFormat="1" applyFont="1" applyFill="1" applyBorder="1" applyAlignment="1" applyProtection="1">
      <alignment horizontal="center"/>
      <protection locked="0"/>
    </xf>
    <xf numFmtId="0" fontId="47" fillId="0" borderId="61" xfId="0" quotePrefix="1" applyFont="1" applyBorder="1" applyAlignment="1">
      <alignment horizontal="center" vertical="center"/>
    </xf>
    <xf numFmtId="1" fontId="31" fillId="0" borderId="0" xfId="0" applyNumberFormat="1" applyFont="1" applyAlignment="1">
      <alignment horizontal="center" vertical="center"/>
    </xf>
    <xf numFmtId="0" fontId="29" fillId="0" borderId="0" xfId="0" quotePrefix="1" applyFont="1" applyAlignment="1">
      <alignment horizontal="left" vertical="center"/>
    </xf>
    <xf numFmtId="1" fontId="29" fillId="7" borderId="52" xfId="0" applyNumberFormat="1" applyFont="1" applyFill="1" applyBorder="1" applyAlignment="1" applyProtection="1">
      <alignment horizontal="center"/>
      <protection locked="0"/>
    </xf>
    <xf numFmtId="0" fontId="31" fillId="0" borderId="40" xfId="0" quotePrefix="1" applyFont="1" applyBorder="1"/>
    <xf numFmtId="0" fontId="31" fillId="0" borderId="49" xfId="0" quotePrefix="1" applyFont="1" applyBorder="1"/>
    <xf numFmtId="0" fontId="29" fillId="0" borderId="60" xfId="0" applyFont="1" applyBorder="1" applyAlignment="1">
      <alignment horizontal="right"/>
    </xf>
    <xf numFmtId="1" fontId="29" fillId="0" borderId="56" xfId="0" applyNumberFormat="1" applyFont="1" applyBorder="1" applyAlignment="1">
      <alignment horizontal="center" vertical="center"/>
    </xf>
    <xf numFmtId="0" fontId="31" fillId="0" borderId="43" xfId="0" quotePrefix="1" applyFont="1" applyBorder="1"/>
    <xf numFmtId="0" fontId="43" fillId="0" borderId="0" xfId="0" applyFont="1"/>
    <xf numFmtId="0" fontId="31" fillId="0" borderId="0" xfId="0" applyFont="1" applyAlignment="1">
      <alignment wrapText="1"/>
    </xf>
    <xf numFmtId="0" fontId="31" fillId="0" borderId="0" xfId="0" applyFont="1" applyAlignment="1">
      <alignment horizontal="right" wrapText="1"/>
    </xf>
    <xf numFmtId="1" fontId="29" fillId="0" borderId="0" xfId="0" applyNumberFormat="1" applyFont="1" applyAlignment="1">
      <alignment horizontal="center"/>
    </xf>
    <xf numFmtId="0" fontId="31" fillId="0" borderId="33" xfId="0" applyFont="1" applyBorder="1" applyAlignment="1">
      <alignment horizontal="center" vertical="center"/>
    </xf>
    <xf numFmtId="0" fontId="31" fillId="0" borderId="24" xfId="0" applyFont="1" applyBorder="1" applyAlignment="1">
      <alignment horizontal="left" vertical="center"/>
    </xf>
    <xf numFmtId="0" fontId="31" fillId="0" borderId="38" xfId="0" applyFont="1" applyBorder="1" applyAlignment="1">
      <alignment horizontal="left" vertical="center"/>
    </xf>
    <xf numFmtId="1" fontId="29" fillId="0" borderId="0" xfId="0" applyNumberFormat="1" applyFont="1"/>
    <xf numFmtId="0" fontId="43" fillId="0" borderId="38" xfId="0" applyFont="1" applyBorder="1" applyAlignment="1">
      <alignment horizontal="left"/>
    </xf>
    <xf numFmtId="0" fontId="31" fillId="0" borderId="39" xfId="0" applyFont="1" applyBorder="1" applyAlignment="1">
      <alignment horizontal="center"/>
    </xf>
    <xf numFmtId="0" fontId="31" fillId="0" borderId="33" xfId="0" applyFont="1" applyBorder="1" applyAlignment="1">
      <alignment horizontal="center"/>
    </xf>
    <xf numFmtId="0" fontId="31" fillId="0" borderId="38" xfId="0" applyFont="1" applyBorder="1" applyAlignment="1">
      <alignment horizontal="center"/>
    </xf>
    <xf numFmtId="2" fontId="29" fillId="0" borderId="33" xfId="0" applyNumberFormat="1" applyFont="1" applyBorder="1" applyAlignment="1">
      <alignment horizontal="centerContinuous"/>
    </xf>
    <xf numFmtId="2" fontId="31" fillId="0" borderId="33" xfId="0" applyNumberFormat="1" applyFont="1" applyBorder="1" applyAlignment="1">
      <alignment horizontal="center"/>
    </xf>
    <xf numFmtId="0" fontId="43" fillId="0" borderId="30" xfId="0" applyFont="1" applyBorder="1"/>
    <xf numFmtId="0" fontId="31" fillId="0" borderId="34" xfId="0" applyFont="1" applyBorder="1" applyAlignment="1">
      <alignment horizontal="center" vertical="center"/>
    </xf>
    <xf numFmtId="0" fontId="31" fillId="0" borderId="24" xfId="0" applyFont="1" applyBorder="1" applyAlignment="1">
      <alignment horizontal="center" vertical="center"/>
    </xf>
    <xf numFmtId="0" fontId="31" fillId="0" borderId="38" xfId="0" applyFont="1" applyBorder="1" applyAlignment="1">
      <alignment horizontal="center" vertical="center"/>
    </xf>
    <xf numFmtId="0" fontId="36" fillId="0" borderId="0" xfId="0" applyFont="1" applyAlignment="1">
      <alignment horizontal="center"/>
    </xf>
    <xf numFmtId="2" fontId="31" fillId="0" borderId="0" xfId="0" applyNumberFormat="1" applyFont="1" applyAlignment="1">
      <alignment horizontal="center"/>
    </xf>
    <xf numFmtId="0" fontId="29" fillId="0" borderId="0" xfId="0" applyFont="1"/>
    <xf numFmtId="0" fontId="41" fillId="0" borderId="0" xfId="0" applyFont="1"/>
    <xf numFmtId="168" fontId="41" fillId="0" borderId="0" xfId="0" applyNumberFormat="1" applyFont="1"/>
    <xf numFmtId="49" fontId="41" fillId="0" borderId="0" xfId="0" applyNumberFormat="1" applyFont="1"/>
    <xf numFmtId="49" fontId="31" fillId="0" borderId="0" xfId="0" applyNumberFormat="1" applyFont="1" applyAlignment="1">
      <alignment horizontal="right"/>
    </xf>
    <xf numFmtId="164" fontId="31" fillId="0" borderId="0" xfId="0" applyNumberFormat="1" applyFont="1" applyAlignment="1">
      <alignment horizontal="right"/>
    </xf>
    <xf numFmtId="2" fontId="31" fillId="0" borderId="0" xfId="0" applyNumberFormat="1" applyFont="1"/>
    <xf numFmtId="167" fontId="31" fillId="0" borderId="0" xfId="0" applyNumberFormat="1" applyFont="1"/>
    <xf numFmtId="168" fontId="31" fillId="0" borderId="0" xfId="0" applyNumberFormat="1" applyFont="1"/>
    <xf numFmtId="49" fontId="31" fillId="0" borderId="0" xfId="0" applyNumberFormat="1" applyFont="1"/>
    <xf numFmtId="0" fontId="42" fillId="0" borderId="0" xfId="0" applyFont="1" applyAlignment="1">
      <alignment horizontal="center"/>
    </xf>
    <xf numFmtId="0" fontId="34" fillId="0" borderId="0" xfId="0" applyFont="1" applyAlignment="1">
      <alignment vertical="center" wrapText="1"/>
    </xf>
    <xf numFmtId="164" fontId="34" fillId="0" borderId="0" xfId="0" applyNumberFormat="1" applyFont="1" applyAlignment="1">
      <alignment vertical="center" wrapText="1"/>
    </xf>
    <xf numFmtId="172" fontId="34" fillId="0" borderId="0" xfId="0" applyNumberFormat="1" applyFont="1"/>
    <xf numFmtId="0" fontId="39" fillId="0" borderId="0" xfId="0" applyFont="1"/>
    <xf numFmtId="0" fontId="31" fillId="0" borderId="34" xfId="0" applyFont="1" applyBorder="1" applyAlignment="1">
      <alignment horizontal="left" vertical="center"/>
    </xf>
    <xf numFmtId="1" fontId="31" fillId="7" borderId="42" xfId="0" applyNumberFormat="1" applyFont="1" applyFill="1" applyBorder="1" applyAlignment="1" applyProtection="1">
      <alignment horizontal="center"/>
      <protection locked="0"/>
    </xf>
    <xf numFmtId="164" fontId="39" fillId="0" borderId="42" xfId="0" applyNumberFormat="1" applyFont="1" applyBorder="1" applyAlignment="1">
      <alignment horizontal="center" vertical="center"/>
    </xf>
    <xf numFmtId="164" fontId="39" fillId="0" borderId="37" xfId="0" applyNumberFormat="1" applyFont="1" applyBorder="1" applyAlignment="1">
      <alignment horizontal="center" vertical="center"/>
    </xf>
    <xf numFmtId="164" fontId="39" fillId="0" borderId="0" xfId="0" applyNumberFormat="1" applyFont="1" applyAlignment="1">
      <alignment horizontal="center" vertical="center"/>
    </xf>
    <xf numFmtId="164" fontId="39" fillId="0" borderId="36" xfId="0" applyNumberFormat="1" applyFont="1" applyBorder="1" applyAlignment="1">
      <alignment horizontal="center" vertical="center"/>
    </xf>
    <xf numFmtId="164" fontId="39" fillId="0" borderId="28" xfId="0" applyNumberFormat="1" applyFont="1" applyBorder="1" applyAlignment="1">
      <alignment horizontal="center" vertical="center"/>
    </xf>
    <xf numFmtId="164" fontId="39" fillId="0" borderId="39" xfId="0" applyNumberFormat="1" applyFont="1" applyBorder="1" applyAlignment="1">
      <alignment horizontal="center" vertical="center"/>
    </xf>
    <xf numFmtId="1" fontId="31" fillId="0" borderId="37" xfId="0" applyNumberFormat="1" applyFont="1" applyBorder="1" applyAlignment="1">
      <alignment horizontal="center"/>
    </xf>
    <xf numFmtId="2" fontId="31" fillId="0" borderId="20" xfId="0" applyNumberFormat="1" applyFont="1" applyBorder="1" applyAlignment="1">
      <alignment horizontal="center"/>
    </xf>
    <xf numFmtId="167" fontId="31" fillId="0" borderId="36" xfId="0" applyNumberFormat="1" applyFont="1" applyBorder="1" applyAlignment="1">
      <alignment horizontal="center"/>
    </xf>
    <xf numFmtId="0" fontId="39" fillId="0" borderId="0" xfId="0" applyFont="1" applyAlignment="1">
      <alignment horizontal="right"/>
    </xf>
    <xf numFmtId="1" fontId="31" fillId="0" borderId="36" xfId="0" applyNumberFormat="1" applyFont="1" applyBorder="1" applyAlignment="1">
      <alignment horizontal="center"/>
    </xf>
    <xf numFmtId="0" fontId="50" fillId="0" borderId="0" xfId="0" applyFont="1"/>
    <xf numFmtId="165" fontId="35" fillId="0" borderId="0" xfId="0" applyNumberFormat="1" applyFont="1" applyAlignment="1">
      <alignment horizontal="left"/>
    </xf>
    <xf numFmtId="165" fontId="35" fillId="0" borderId="0" xfId="0" applyNumberFormat="1" applyFont="1" applyAlignment="1">
      <alignment horizontal="center"/>
    </xf>
    <xf numFmtId="167" fontId="31" fillId="0" borderId="39" xfId="0" applyNumberFormat="1" applyFont="1" applyBorder="1" applyAlignment="1">
      <alignment horizontal="center"/>
    </xf>
    <xf numFmtId="2" fontId="29" fillId="3" borderId="29" xfId="0" applyNumberFormat="1" applyFont="1" applyFill="1" applyBorder="1" applyAlignment="1">
      <alignment horizontal="center"/>
    </xf>
    <xf numFmtId="166" fontId="31" fillId="0" borderId="39" xfId="0" applyNumberFormat="1" applyFont="1" applyBorder="1" applyAlignment="1">
      <alignment horizontal="center"/>
    </xf>
    <xf numFmtId="2" fontId="31" fillId="0" borderId="28" xfId="0" applyNumberFormat="1" applyFont="1" applyBorder="1" applyAlignment="1">
      <alignment horizontal="center"/>
    </xf>
    <xf numFmtId="164" fontId="29" fillId="0" borderId="39" xfId="0" applyNumberFormat="1" applyFont="1" applyBorder="1" applyAlignment="1" applyProtection="1">
      <alignment horizontal="center"/>
      <protection locked="0"/>
    </xf>
    <xf numFmtId="9" fontId="29" fillId="0" borderId="0" xfId="3" applyFont="1" applyFill="1" applyBorder="1" applyAlignment="1" applyProtection="1">
      <alignment horizontal="center" vertical="center"/>
    </xf>
    <xf numFmtId="165" fontId="29" fillId="0" borderId="0" xfId="0" applyNumberFormat="1" applyFont="1"/>
    <xf numFmtId="1" fontId="29" fillId="0" borderId="33" xfId="0" applyNumberFormat="1" applyFont="1" applyBorder="1" applyAlignment="1">
      <alignment horizontal="center" vertical="center"/>
    </xf>
    <xf numFmtId="0" fontId="31" fillId="0" borderId="31" xfId="0" applyFont="1" applyBorder="1" applyAlignment="1">
      <alignment horizontal="center" vertical="center"/>
    </xf>
    <xf numFmtId="167" fontId="39" fillId="0" borderId="33" xfId="0" applyNumberFormat="1" applyFont="1" applyBorder="1" applyAlignment="1">
      <alignment horizontal="center" vertical="center"/>
    </xf>
    <xf numFmtId="1" fontId="39" fillId="0" borderId="33" xfId="0" applyNumberFormat="1" applyFont="1" applyBorder="1" applyAlignment="1">
      <alignment horizontal="center"/>
    </xf>
    <xf numFmtId="49" fontId="31" fillId="0" borderId="24" xfId="0" applyNumberFormat="1" applyFont="1" applyBorder="1" applyAlignment="1">
      <alignment horizontal="left"/>
    </xf>
    <xf numFmtId="49" fontId="31" fillId="0" borderId="36" xfId="0" applyNumberFormat="1" applyFont="1" applyBorder="1" applyAlignment="1">
      <alignment horizontal="center"/>
    </xf>
    <xf numFmtId="164" fontId="31" fillId="0" borderId="36" xfId="0" applyNumberFormat="1" applyFont="1" applyBorder="1" applyAlignment="1">
      <alignment horizontal="center" vertical="center"/>
    </xf>
    <xf numFmtId="0" fontId="31" fillId="0" borderId="20" xfId="0" applyFont="1" applyBorder="1" applyAlignment="1">
      <alignment horizontal="center" vertical="center"/>
    </xf>
    <xf numFmtId="0" fontId="31" fillId="0" borderId="24" xfId="0" applyFont="1" applyBorder="1" applyAlignment="1">
      <alignment horizontal="left"/>
    </xf>
    <xf numFmtId="2" fontId="29" fillId="0" borderId="36" xfId="0" applyNumberFormat="1" applyFont="1" applyBorder="1" applyAlignment="1">
      <alignment horizontal="center" vertical="center"/>
    </xf>
    <xf numFmtId="167" fontId="31" fillId="0" borderId="36" xfId="0" applyNumberFormat="1" applyFont="1" applyBorder="1" applyAlignment="1">
      <alignment horizontal="center" vertical="center"/>
    </xf>
    <xf numFmtId="0" fontId="31" fillId="0" borderId="20" xfId="0" quotePrefix="1" applyFont="1" applyBorder="1" applyAlignment="1">
      <alignment horizontal="center" vertical="center"/>
    </xf>
    <xf numFmtId="2" fontId="31" fillId="0" borderId="36" xfId="0" applyNumberFormat="1" applyFont="1" applyBorder="1" applyAlignment="1">
      <alignment horizontal="center" vertical="center"/>
    </xf>
    <xf numFmtId="1" fontId="31" fillId="0" borderId="36" xfId="0" applyNumberFormat="1" applyFont="1" applyBorder="1" applyAlignment="1">
      <alignment horizontal="center" vertical="center"/>
    </xf>
    <xf numFmtId="165" fontId="31" fillId="0" borderId="36" xfId="0" applyNumberFormat="1" applyFont="1" applyBorder="1" applyAlignment="1">
      <alignment horizontal="center" vertical="center"/>
    </xf>
    <xf numFmtId="0" fontId="31" fillId="0" borderId="38" xfId="0" applyFont="1" applyBorder="1"/>
    <xf numFmtId="2" fontId="31" fillId="0" borderId="39" xfId="0" applyNumberFormat="1" applyFont="1" applyBorder="1" applyAlignment="1">
      <alignment horizontal="center" vertical="center"/>
    </xf>
    <xf numFmtId="165" fontId="31" fillId="0" borderId="39" xfId="0" applyNumberFormat="1" applyFont="1" applyBorder="1" applyAlignment="1">
      <alignment horizontal="center" vertical="center"/>
    </xf>
    <xf numFmtId="0" fontId="31" fillId="0" borderId="29" xfId="0" applyFont="1" applyBorder="1" applyAlignment="1">
      <alignment horizontal="center" vertical="center"/>
    </xf>
    <xf numFmtId="1" fontId="39" fillId="0" borderId="0" xfId="0" applyNumberFormat="1" applyFont="1"/>
    <xf numFmtId="49" fontId="31" fillId="0" borderId="19" xfId="0" applyNumberFormat="1" applyFont="1" applyBorder="1" applyAlignment="1">
      <alignment horizontal="center"/>
    </xf>
    <xf numFmtId="1" fontId="31" fillId="0" borderId="72" xfId="0" applyNumberFormat="1" applyFont="1" applyBorder="1" applyAlignment="1">
      <alignment horizontal="center"/>
    </xf>
    <xf numFmtId="164" fontId="31" fillId="0" borderId="72" xfId="3" applyNumberFormat="1" applyFont="1" applyBorder="1" applyAlignment="1" applyProtection="1">
      <alignment horizontal="center"/>
    </xf>
    <xf numFmtId="49" fontId="31" fillId="0" borderId="14" xfId="0" applyNumberFormat="1" applyFont="1" applyBorder="1" applyAlignment="1">
      <alignment horizontal="center"/>
    </xf>
    <xf numFmtId="2" fontId="31" fillId="0" borderId="49" xfId="0" applyNumberFormat="1" applyFont="1" applyBorder="1" applyAlignment="1">
      <alignment horizontal="center"/>
    </xf>
    <xf numFmtId="164" fontId="31" fillId="0" borderId="49" xfId="3" applyNumberFormat="1" applyFont="1" applyBorder="1" applyAlignment="1" applyProtection="1">
      <alignment horizontal="center"/>
    </xf>
    <xf numFmtId="0" fontId="31" fillId="0" borderId="36" xfId="0" applyFont="1" applyBorder="1" applyAlignment="1">
      <alignment horizontal="center" vertical="center"/>
    </xf>
    <xf numFmtId="0" fontId="31" fillId="0" borderId="29" xfId="0" applyFont="1" applyBorder="1" applyAlignment="1" applyProtection="1">
      <alignment horizontal="center" vertical="center"/>
      <protection hidden="1"/>
    </xf>
    <xf numFmtId="0" fontId="31" fillId="0" borderId="28" xfId="0" applyFont="1" applyBorder="1" applyAlignment="1" applyProtection="1">
      <alignment horizontal="center" vertical="center"/>
      <protection hidden="1"/>
    </xf>
    <xf numFmtId="49" fontId="31" fillId="0" borderId="53" xfId="0" applyNumberFormat="1" applyFont="1" applyBorder="1" applyAlignment="1">
      <alignment horizontal="center"/>
    </xf>
    <xf numFmtId="2" fontId="31" fillId="0" borderId="43" xfId="0" applyNumberFormat="1" applyFont="1" applyBorder="1" applyAlignment="1">
      <alignment horizontal="center"/>
    </xf>
    <xf numFmtId="164" fontId="31" fillId="0" borderId="43" xfId="3" applyNumberFormat="1" applyFont="1" applyBorder="1" applyAlignment="1" applyProtection="1">
      <alignment horizontal="center"/>
    </xf>
    <xf numFmtId="0" fontId="31" fillId="0" borderId="39" xfId="0" applyFont="1" applyBorder="1" applyAlignment="1">
      <alignment horizontal="center" vertical="center"/>
    </xf>
    <xf numFmtId="167" fontId="31" fillId="0" borderId="28" xfId="0" applyNumberFormat="1" applyFont="1" applyBorder="1" applyAlignment="1">
      <alignment horizontal="center" vertical="center"/>
    </xf>
    <xf numFmtId="2" fontId="31" fillId="0" borderId="29" xfId="0" applyNumberFormat="1" applyFont="1" applyBorder="1" applyAlignment="1">
      <alignment horizontal="center"/>
    </xf>
    <xf numFmtId="0" fontId="39" fillId="0" borderId="33" xfId="0" applyFont="1" applyBorder="1" applyAlignment="1">
      <alignment horizontal="center" vertical="center"/>
    </xf>
    <xf numFmtId="164" fontId="39" fillId="0" borderId="33" xfId="0" applyNumberFormat="1" applyFont="1" applyBorder="1" applyAlignment="1">
      <alignment horizontal="center" vertical="center"/>
    </xf>
    <xf numFmtId="0" fontId="18" fillId="0" borderId="0" xfId="0" applyFont="1"/>
    <xf numFmtId="0" fontId="21" fillId="0" borderId="0" xfId="0" applyFont="1" applyAlignment="1">
      <alignment horizontal="centerContinuous"/>
    </xf>
    <xf numFmtId="169" fontId="18" fillId="0" borderId="0" xfId="0" applyNumberFormat="1" applyFont="1"/>
    <xf numFmtId="0" fontId="52" fillId="0" borderId="0" xfId="0" applyFont="1" applyAlignment="1">
      <alignment horizontal="centerContinuous"/>
    </xf>
    <xf numFmtId="0" fontId="21" fillId="0" borderId="34" xfId="0" applyFont="1" applyBorder="1"/>
    <xf numFmtId="0" fontId="18" fillId="0" borderId="42" xfId="0" applyFont="1" applyBorder="1"/>
    <xf numFmtId="165" fontId="18" fillId="0" borderId="35" xfId="0" applyNumberFormat="1" applyFont="1" applyBorder="1"/>
    <xf numFmtId="0" fontId="21" fillId="0" borderId="0" xfId="0" applyFont="1"/>
    <xf numFmtId="0" fontId="18" fillId="0" borderId="24" xfId="0" applyFont="1" applyBorder="1"/>
    <xf numFmtId="165" fontId="18" fillId="0" borderId="20" xfId="0" applyNumberFormat="1" applyFont="1" applyBorder="1"/>
    <xf numFmtId="0" fontId="55" fillId="0" borderId="0" xfId="0" applyFont="1"/>
    <xf numFmtId="0" fontId="56" fillId="0" borderId="0" xfId="0" applyFont="1"/>
    <xf numFmtId="0" fontId="21" fillId="0" borderId="38" xfId="0" applyFont="1" applyBorder="1"/>
    <xf numFmtId="165" fontId="18" fillId="0" borderId="28" xfId="0" applyNumberFormat="1" applyFont="1" applyBorder="1"/>
    <xf numFmtId="0" fontId="18" fillId="0" borderId="28" xfId="0" applyFont="1" applyBorder="1"/>
    <xf numFmtId="165" fontId="18" fillId="0" borderId="29" xfId="0" applyNumberFormat="1" applyFont="1" applyBorder="1"/>
    <xf numFmtId="0" fontId="18" fillId="0" borderId="0" xfId="0" applyFont="1" applyAlignment="1">
      <alignment horizontal="center"/>
    </xf>
    <xf numFmtId="164" fontId="57" fillId="0" borderId="0" xfId="0" applyNumberFormat="1" applyFont="1" applyAlignment="1">
      <alignment horizontal="center"/>
    </xf>
    <xf numFmtId="2" fontId="18" fillId="0" borderId="0" xfId="0" applyNumberFormat="1" applyFont="1" applyAlignment="1" applyProtection="1">
      <alignment horizontal="center"/>
      <protection hidden="1"/>
    </xf>
    <xf numFmtId="2" fontId="18" fillId="0" borderId="0" xfId="0" applyNumberFormat="1" applyFont="1" applyAlignment="1">
      <alignment horizontal="center"/>
    </xf>
    <xf numFmtId="49" fontId="18" fillId="0" borderId="0" xfId="0" applyNumberFormat="1" applyFont="1"/>
    <xf numFmtId="167" fontId="18" fillId="0" borderId="0" xfId="0" applyNumberFormat="1" applyFont="1"/>
    <xf numFmtId="0" fontId="18" fillId="3" borderId="24" xfId="0" applyFont="1" applyFill="1" applyBorder="1"/>
    <xf numFmtId="0" fontId="18" fillId="0" borderId="10" xfId="0" applyFont="1" applyBorder="1" applyAlignment="1">
      <alignment horizontal="center" vertical="center"/>
    </xf>
    <xf numFmtId="0" fontId="18" fillId="0" borderId="40" xfId="0" applyFont="1" applyBorder="1" applyAlignment="1">
      <alignment horizontal="center" vertical="center"/>
    </xf>
    <xf numFmtId="0" fontId="18" fillId="0" borderId="11" xfId="0" applyFont="1" applyBorder="1" applyAlignment="1">
      <alignment horizontal="center" vertical="center"/>
    </xf>
    <xf numFmtId="0" fontId="18" fillId="0" borderId="19" xfId="0" applyFont="1" applyBorder="1" applyAlignment="1">
      <alignment horizontal="center" vertical="center"/>
    </xf>
    <xf numFmtId="0" fontId="18" fillId="0" borderId="38" xfId="0" applyFont="1" applyBorder="1" applyAlignment="1">
      <alignment horizontal="center" vertical="center"/>
    </xf>
    <xf numFmtId="164" fontId="18" fillId="0" borderId="39" xfId="0" applyNumberFormat="1" applyFont="1" applyBorder="1" applyAlignment="1">
      <alignment horizontal="center" vertical="center" wrapText="1"/>
    </xf>
    <xf numFmtId="164" fontId="18" fillId="0" borderId="28" xfId="0" applyNumberFormat="1" applyFont="1" applyBorder="1" applyAlignment="1">
      <alignment horizontal="center" vertical="center" wrapText="1"/>
    </xf>
    <xf numFmtId="164" fontId="18" fillId="0" borderId="72" xfId="3" applyNumberFormat="1" applyFont="1" applyBorder="1" applyAlignment="1" applyProtection="1">
      <alignment horizontal="center" vertical="center"/>
    </xf>
    <xf numFmtId="164" fontId="18" fillId="0" borderId="7" xfId="3" applyNumberFormat="1" applyFont="1" applyBorder="1" applyAlignment="1" applyProtection="1">
      <alignment horizontal="center" vertical="center"/>
    </xf>
    <xf numFmtId="164" fontId="18" fillId="0" borderId="19" xfId="0" applyNumberFormat="1" applyFont="1" applyBorder="1" applyAlignment="1">
      <alignment horizontal="center" vertical="center"/>
    </xf>
    <xf numFmtId="164" fontId="18" fillId="0" borderId="40" xfId="0" applyNumberFormat="1" applyFont="1" applyBorder="1" applyAlignment="1">
      <alignment horizontal="center" vertical="center"/>
    </xf>
    <xf numFmtId="164" fontId="18" fillId="0" borderId="49" xfId="3" applyNumberFormat="1" applyFont="1" applyBorder="1" applyAlignment="1" applyProtection="1">
      <alignment horizontal="center" vertical="center"/>
    </xf>
    <xf numFmtId="164" fontId="18" fillId="0" borderId="9" xfId="3" applyNumberFormat="1" applyFont="1" applyBorder="1" applyAlignment="1" applyProtection="1">
      <alignment horizontal="center" vertical="center"/>
    </xf>
    <xf numFmtId="164" fontId="18" fillId="0" borderId="14" xfId="0" applyNumberFormat="1" applyFont="1" applyBorder="1" applyAlignment="1">
      <alignment horizontal="center" vertical="center"/>
    </xf>
    <xf numFmtId="164" fontId="18" fillId="0" borderId="49" xfId="0" applyNumberFormat="1" applyFont="1" applyBorder="1" applyAlignment="1">
      <alignment horizontal="center" vertical="center"/>
    </xf>
    <xf numFmtId="164" fontId="18" fillId="0" borderId="43" xfId="3" applyNumberFormat="1" applyFont="1" applyBorder="1" applyAlignment="1" applyProtection="1">
      <alignment horizontal="center" vertical="center"/>
    </xf>
    <xf numFmtId="164" fontId="18" fillId="0" borderId="44" xfId="3" applyNumberFormat="1" applyFont="1" applyBorder="1" applyAlignment="1" applyProtection="1">
      <alignment horizontal="center" vertical="center"/>
    </xf>
    <xf numFmtId="164" fontId="18" fillId="0" borderId="53" xfId="0" applyNumberFormat="1" applyFont="1" applyBorder="1" applyAlignment="1">
      <alignment horizontal="center" vertical="center"/>
    </xf>
    <xf numFmtId="164" fontId="18" fillId="0" borderId="43" xfId="0" applyNumberFormat="1" applyFont="1" applyBorder="1" applyAlignment="1">
      <alignment horizontal="center" vertical="center"/>
    </xf>
    <xf numFmtId="168" fontId="0" fillId="0" borderId="0" xfId="0" applyNumberFormat="1"/>
    <xf numFmtId="49" fontId="0" fillId="0" borderId="0" xfId="0" applyNumberFormat="1"/>
    <xf numFmtId="49" fontId="18" fillId="0" borderId="0" xfId="0" applyNumberFormat="1" applyFont="1" applyAlignment="1">
      <alignment horizontal="right"/>
    </xf>
    <xf numFmtId="164" fontId="18" fillId="0" borderId="0" xfId="0" applyNumberFormat="1" applyFont="1" applyAlignment="1">
      <alignment horizontal="right"/>
    </xf>
    <xf numFmtId="2" fontId="18" fillId="0" borderId="0" xfId="0" applyNumberFormat="1" applyFont="1"/>
    <xf numFmtId="168" fontId="18" fillId="0" borderId="0" xfId="0" applyNumberFormat="1" applyFont="1"/>
    <xf numFmtId="0" fontId="58" fillId="0" borderId="0" xfId="0" applyFont="1" applyAlignment="1">
      <alignment horizontal="center"/>
    </xf>
    <xf numFmtId="167" fontId="18" fillId="0" borderId="0" xfId="0" applyNumberFormat="1" applyFont="1" applyAlignment="1">
      <alignment horizontal="center"/>
    </xf>
    <xf numFmtId="0" fontId="18" fillId="0" borderId="0" xfId="0" applyFont="1" applyProtection="1">
      <protection hidden="1"/>
    </xf>
    <xf numFmtId="0" fontId="18" fillId="0" borderId="0" xfId="2" applyFont="1"/>
    <xf numFmtId="0" fontId="18" fillId="0" borderId="0" xfId="2" applyFont="1" applyAlignment="1">
      <alignment horizontal="right"/>
    </xf>
    <xf numFmtId="0" fontId="18" fillId="0" borderId="10" xfId="2" applyFont="1" applyBorder="1"/>
    <xf numFmtId="0" fontId="18" fillId="0" borderId="11" xfId="2" applyFont="1" applyBorder="1"/>
    <xf numFmtId="0" fontId="18" fillId="0" borderId="47" xfId="2" applyFont="1" applyBorder="1"/>
    <xf numFmtId="0" fontId="18" fillId="0" borderId="14" xfId="2" applyFont="1" applyBorder="1"/>
    <xf numFmtId="0" fontId="18" fillId="0" borderId="9" xfId="2" applyFont="1" applyBorder="1"/>
    <xf numFmtId="0" fontId="18" fillId="0" borderId="50" xfId="2" applyFont="1" applyBorder="1"/>
    <xf numFmtId="0" fontId="18" fillId="0" borderId="38" xfId="2" applyFont="1" applyBorder="1" applyAlignment="1">
      <alignment horizontal="center" vertical="center"/>
    </xf>
    <xf numFmtId="0" fontId="18" fillId="0" borderId="28" xfId="2" applyFont="1" applyBorder="1" applyAlignment="1">
      <alignment vertical="center"/>
    </xf>
    <xf numFmtId="0" fontId="18" fillId="0" borderId="9" xfId="2" applyFont="1" applyBorder="1" applyAlignment="1">
      <alignment horizontal="center"/>
    </xf>
    <xf numFmtId="0" fontId="18" fillId="0" borderId="50" xfId="2" applyFont="1" applyBorder="1" applyAlignment="1">
      <alignment horizontal="center"/>
    </xf>
    <xf numFmtId="0" fontId="18" fillId="0" borderId="50" xfId="2" applyFont="1" applyBorder="1" applyAlignment="1">
      <alignment horizontal="right"/>
    </xf>
    <xf numFmtId="0" fontId="18" fillId="0" borderId="38" xfId="2" applyFont="1" applyBorder="1"/>
    <xf numFmtId="0" fontId="18" fillId="0" borderId="28" xfId="2" applyFont="1" applyBorder="1"/>
    <xf numFmtId="0" fontId="18" fillId="0" borderId="66" xfId="2" applyFont="1" applyBorder="1"/>
    <xf numFmtId="0" fontId="18" fillId="0" borderId="41" xfId="2" applyFont="1" applyBorder="1" applyAlignment="1">
      <alignment horizontal="center"/>
    </xf>
    <xf numFmtId="0" fontId="18" fillId="0" borderId="29" xfId="2" applyFont="1" applyBorder="1" applyAlignment="1">
      <alignment horizontal="center"/>
    </xf>
    <xf numFmtId="0" fontId="18" fillId="0" borderId="9" xfId="2" applyFont="1" applyBorder="1" applyAlignment="1">
      <alignment horizontal="center" vertical="center"/>
    </xf>
    <xf numFmtId="0" fontId="18" fillId="0" borderId="2" xfId="2" applyFont="1" applyBorder="1" applyAlignment="1">
      <alignment horizontal="center" vertical="center"/>
    </xf>
    <xf numFmtId="0" fontId="18" fillId="0" borderId="2" xfId="2" applyFont="1" applyBorder="1" applyAlignment="1">
      <alignment vertical="center"/>
    </xf>
    <xf numFmtId="0" fontId="18" fillId="0" borderId="15" xfId="2" applyFont="1" applyBorder="1" applyAlignment="1">
      <alignment horizontal="center"/>
    </xf>
    <xf numFmtId="168" fontId="18" fillId="0" borderId="51" xfId="2" applyNumberFormat="1" applyFont="1" applyBorder="1" applyAlignment="1">
      <alignment horizontal="center" vertical="center"/>
    </xf>
    <xf numFmtId="0" fontId="18" fillId="0" borderId="34" xfId="2" applyFont="1" applyBorder="1" applyAlignment="1">
      <alignment vertical="center"/>
    </xf>
    <xf numFmtId="0" fontId="18" fillId="0" borderId="42" xfId="2" applyFont="1" applyBorder="1"/>
    <xf numFmtId="0" fontId="18" fillId="0" borderId="35" xfId="2" applyFont="1" applyBorder="1"/>
    <xf numFmtId="0" fontId="18" fillId="0" borderId="20" xfId="2" applyFont="1" applyBorder="1"/>
    <xf numFmtId="0" fontId="18" fillId="0" borderId="29" xfId="2" applyFont="1" applyBorder="1"/>
    <xf numFmtId="168" fontId="18" fillId="0" borderId="0" xfId="2" applyNumberFormat="1" applyFont="1" applyAlignment="1">
      <alignment horizontal="center" vertical="center"/>
    </xf>
    <xf numFmtId="0" fontId="18" fillId="0" borderId="0" xfId="2" applyFont="1" applyAlignment="1">
      <alignment horizontal="center"/>
    </xf>
    <xf numFmtId="0" fontId="21" fillId="0" borderId="0" xfId="2" applyFont="1" applyAlignment="1">
      <alignment horizontal="right"/>
    </xf>
    <xf numFmtId="0" fontId="18" fillId="0" borderId="0" xfId="2" applyFont="1" applyAlignment="1">
      <alignment horizontal="left"/>
    </xf>
    <xf numFmtId="0" fontId="18" fillId="0" borderId="24" xfId="2" applyFont="1" applyBorder="1"/>
    <xf numFmtId="0" fontId="18" fillId="0" borderId="0" xfId="2" applyFont="1" applyAlignment="1">
      <alignment horizontal="right" vertical="center"/>
    </xf>
    <xf numFmtId="0" fontId="18" fillId="0" borderId="20" xfId="2" applyFont="1" applyBorder="1" applyAlignment="1">
      <alignment vertical="center"/>
    </xf>
    <xf numFmtId="0" fontId="18" fillId="0" borderId="29" xfId="2" applyFont="1" applyBorder="1" applyAlignment="1">
      <alignment vertical="center"/>
    </xf>
    <xf numFmtId="0" fontId="18" fillId="0" borderId="0" xfId="2" quotePrefix="1" applyFont="1" applyAlignment="1">
      <alignment horizontal="center" vertical="center"/>
    </xf>
    <xf numFmtId="0" fontId="18" fillId="0" borderId="0" xfId="2" quotePrefix="1" applyFont="1" applyAlignment="1">
      <alignment horizontal="center"/>
    </xf>
    <xf numFmtId="168" fontId="18" fillId="0" borderId="0" xfId="2" applyNumberFormat="1" applyFont="1" applyAlignment="1">
      <alignment vertical="center"/>
    </xf>
    <xf numFmtId="14" fontId="23" fillId="0" borderId="0" xfId="0" applyNumberFormat="1" applyFont="1" applyAlignment="1">
      <alignment horizontal="left"/>
    </xf>
    <xf numFmtId="0" fontId="21" fillId="0" borderId="0" xfId="0" applyFont="1" applyAlignment="1">
      <alignment horizontal="left"/>
    </xf>
    <xf numFmtId="0" fontId="25" fillId="0" borderId="28" xfId="0" applyFont="1" applyBorder="1" applyAlignment="1">
      <alignment horizontal="center" vertical="center"/>
    </xf>
    <xf numFmtId="2" fontId="22" fillId="0" borderId="39" xfId="0" applyNumberFormat="1" applyFont="1" applyBorder="1" applyAlignment="1">
      <alignment horizontal="center" vertical="center"/>
    </xf>
    <xf numFmtId="0" fontId="22" fillId="0" borderId="0" xfId="0" applyFont="1" applyAlignment="1">
      <alignment horizontal="left" vertical="center"/>
    </xf>
    <xf numFmtId="0" fontId="0" fillId="0" borderId="33" xfId="0" applyBorder="1" applyAlignment="1">
      <alignment horizontal="center"/>
    </xf>
    <xf numFmtId="14" fontId="21" fillId="7" borderId="68" xfId="0" applyNumberFormat="1" applyFont="1" applyFill="1" applyBorder="1" applyAlignment="1" applyProtection="1">
      <alignment horizontal="center" vertical="center"/>
      <protection locked="0"/>
    </xf>
    <xf numFmtId="0" fontId="29" fillId="7" borderId="33" xfId="0" applyFont="1" applyFill="1" applyBorder="1" applyAlignment="1" applyProtection="1">
      <alignment horizontal="center" vertical="center"/>
      <protection locked="0"/>
    </xf>
    <xf numFmtId="172" fontId="30" fillId="0" borderId="15" xfId="0" applyNumberFormat="1" applyFont="1" applyBorder="1" applyAlignment="1">
      <alignment horizontal="left"/>
    </xf>
    <xf numFmtId="0" fontId="0" fillId="0" borderId="0" xfId="0" applyAlignment="1">
      <alignment horizontal="left" vertical="center"/>
    </xf>
    <xf numFmtId="0" fontId="9" fillId="0" borderId="24" xfId="0" applyFont="1" applyBorder="1" applyAlignment="1">
      <alignment horizontal="left" vertical="center"/>
    </xf>
    <xf numFmtId="0" fontId="9" fillId="0" borderId="14" xfId="0" applyFont="1" applyBorder="1" applyAlignment="1">
      <alignment horizontal="left" vertical="center"/>
    </xf>
    <xf numFmtId="0" fontId="9" fillId="0" borderId="65" xfId="0" applyFont="1" applyBorder="1" applyAlignment="1">
      <alignment horizontal="left" vertical="center"/>
    </xf>
    <xf numFmtId="0" fontId="9" fillId="0" borderId="53" xfId="0" applyFont="1" applyBorder="1" applyAlignment="1">
      <alignment horizontal="left" vertical="center"/>
    </xf>
    <xf numFmtId="0" fontId="10" fillId="0" borderId="0" xfId="0" applyFont="1" applyAlignment="1">
      <alignment horizontal="left" vertical="center"/>
    </xf>
    <xf numFmtId="0" fontId="9" fillId="0" borderId="0" xfId="0" applyFont="1" applyAlignment="1">
      <alignment horizontal="left" vertical="center"/>
    </xf>
    <xf numFmtId="0" fontId="12" fillId="0" borderId="0" xfId="0" applyFont="1" applyAlignment="1">
      <alignment vertical="center"/>
    </xf>
    <xf numFmtId="0" fontId="8" fillId="0" borderId="0" xfId="0" applyFont="1" applyAlignment="1">
      <alignment vertical="center"/>
    </xf>
    <xf numFmtId="164" fontId="8" fillId="0" borderId="30" xfId="0" applyNumberFormat="1" applyFont="1" applyBorder="1" applyAlignment="1">
      <alignment vertical="center"/>
    </xf>
    <xf numFmtId="0" fontId="11" fillId="0" borderId="0" xfId="0" applyFont="1" applyAlignment="1">
      <alignment horizontal="left" vertical="center"/>
    </xf>
    <xf numFmtId="0" fontId="12" fillId="0" borderId="0" xfId="0" applyFont="1" applyAlignment="1">
      <alignment horizontal="left" vertical="center" wrapText="1"/>
    </xf>
    <xf numFmtId="0" fontId="9" fillId="0" borderId="0" xfId="0" applyFont="1" applyAlignment="1">
      <alignment vertical="center"/>
    </xf>
    <xf numFmtId="0" fontId="8" fillId="0" borderId="0" xfId="0" applyFont="1" applyAlignment="1">
      <alignment horizontal="left" vertical="center"/>
    </xf>
    <xf numFmtId="0" fontId="9" fillId="0" borderId="0" xfId="0" applyFont="1" applyAlignment="1">
      <alignment horizontal="left" vertical="center" wrapText="1"/>
    </xf>
    <xf numFmtId="0" fontId="41" fillId="0" borderId="0" xfId="0" applyFont="1" applyAlignment="1">
      <alignment horizontal="center" vertical="center"/>
    </xf>
    <xf numFmtId="0" fontId="0" fillId="0" borderId="0" xfId="0" applyAlignment="1">
      <alignment horizontal="left" vertical="center" wrapText="1"/>
    </xf>
    <xf numFmtId="0" fontId="9" fillId="0" borderId="0" xfId="0" quotePrefix="1" applyFont="1" applyAlignment="1">
      <alignment horizontal="left" vertical="center" wrapText="1" readingOrder="1"/>
    </xf>
    <xf numFmtId="0" fontId="9" fillId="0" borderId="0" xfId="0" quotePrefix="1" applyFont="1" applyAlignment="1">
      <alignment horizontal="left" vertical="center" wrapText="1"/>
    </xf>
    <xf numFmtId="0" fontId="29" fillId="0" borderId="52" xfId="0" applyFont="1" applyBorder="1" applyProtection="1">
      <protection hidden="1"/>
    </xf>
    <xf numFmtId="172" fontId="21" fillId="0" borderId="9" xfId="0" applyNumberFormat="1" applyFont="1" applyBorder="1"/>
    <xf numFmtId="0" fontId="2" fillId="0" borderId="37" xfId="0" applyFont="1" applyBorder="1" applyAlignment="1">
      <alignment horizontal="center" vertical="center"/>
    </xf>
    <xf numFmtId="49" fontId="2" fillId="0" borderId="34" xfId="0" applyNumberFormat="1" applyFont="1" applyBorder="1" applyAlignment="1">
      <alignment horizontal="center" vertical="center"/>
    </xf>
    <xf numFmtId="168" fontId="2" fillId="0" borderId="36" xfId="0" applyNumberFormat="1" applyFont="1" applyBorder="1" applyAlignment="1">
      <alignment horizontal="center" vertical="center"/>
    </xf>
    <xf numFmtId="49" fontId="2" fillId="0" borderId="24" xfId="0" applyNumberFormat="1" applyFont="1" applyBorder="1" applyAlignment="1">
      <alignment horizontal="center" vertical="center"/>
    </xf>
    <xf numFmtId="49" fontId="2" fillId="0" borderId="38" xfId="0" applyNumberFormat="1" applyFont="1" applyBorder="1" applyAlignment="1">
      <alignment horizontal="center" vertical="center"/>
    </xf>
    <xf numFmtId="168" fontId="2" fillId="0" borderId="39" xfId="0" applyNumberFormat="1" applyFont="1" applyBorder="1" applyAlignment="1">
      <alignment horizontal="center" vertical="center"/>
    </xf>
    <xf numFmtId="172" fontId="30" fillId="0" borderId="0" xfId="0" applyNumberFormat="1" applyFont="1" applyAlignment="1">
      <alignment horizontal="left"/>
    </xf>
    <xf numFmtId="0" fontId="32" fillId="0" borderId="0" xfId="0" applyFont="1" applyAlignment="1">
      <alignment vertical="center"/>
    </xf>
    <xf numFmtId="0" fontId="31" fillId="0" borderId="24" xfId="0" applyFont="1" applyBorder="1" applyAlignment="1">
      <alignment vertical="center"/>
    </xf>
    <xf numFmtId="1" fontId="31" fillId="7" borderId="33" xfId="0" applyNumberFormat="1" applyFont="1" applyFill="1" applyBorder="1" applyAlignment="1" applyProtection="1">
      <alignment horizontal="center"/>
      <protection locked="0"/>
    </xf>
    <xf numFmtId="0" fontId="2" fillId="0" borderId="0" xfId="0" applyFont="1" applyAlignment="1">
      <alignment vertical="center"/>
    </xf>
    <xf numFmtId="164" fontId="2" fillId="0" borderId="0" xfId="0" applyNumberFormat="1" applyFont="1" applyAlignment="1">
      <alignment vertical="center"/>
    </xf>
    <xf numFmtId="9" fontId="2" fillId="0" borderId="0" xfId="3" applyFont="1" applyBorder="1" applyAlignment="1" applyProtection="1">
      <alignment vertical="center"/>
    </xf>
    <xf numFmtId="168" fontId="2" fillId="0" borderId="0" xfId="0" applyNumberFormat="1" applyFont="1" applyAlignment="1">
      <alignment vertical="center"/>
    </xf>
    <xf numFmtId="168" fontId="2" fillId="0" borderId="36" xfId="0" applyNumberFormat="1" applyFont="1" applyBorder="1" applyAlignment="1">
      <alignment vertical="center"/>
    </xf>
    <xf numFmtId="168" fontId="2" fillId="0" borderId="39" xfId="0" applyNumberFormat="1" applyFont="1" applyBorder="1" applyAlignment="1">
      <alignment vertical="center"/>
    </xf>
    <xf numFmtId="164" fontId="2" fillId="0" borderId="36" xfId="0" applyNumberFormat="1" applyFont="1" applyBorder="1" applyAlignment="1">
      <alignment vertical="center"/>
    </xf>
    <xf numFmtId="164" fontId="2" fillId="0" borderId="39" xfId="0" applyNumberFormat="1" applyFont="1" applyBorder="1" applyAlignment="1">
      <alignment vertical="center"/>
    </xf>
    <xf numFmtId="0" fontId="2" fillId="0" borderId="33" xfId="0" applyFont="1" applyBorder="1" applyAlignment="1">
      <alignment vertical="center"/>
    </xf>
    <xf numFmtId="0" fontId="31" fillId="0" borderId="39" xfId="0" applyFont="1" applyBorder="1" applyAlignment="1" applyProtection="1">
      <alignment horizontal="center" vertical="center"/>
      <protection hidden="1"/>
    </xf>
    <xf numFmtId="49" fontId="29" fillId="7" borderId="33" xfId="3" applyNumberFormat="1" applyFont="1" applyFill="1" applyBorder="1" applyAlignment="1" applyProtection="1">
      <alignment horizontal="center" vertical="center"/>
      <protection locked="0"/>
    </xf>
    <xf numFmtId="49" fontId="29" fillId="7" borderId="31" xfId="3" applyNumberFormat="1" applyFont="1" applyFill="1" applyBorder="1" applyAlignment="1" applyProtection="1">
      <alignment horizontal="center" vertical="center"/>
      <protection locked="0"/>
    </xf>
    <xf numFmtId="0" fontId="29" fillId="7" borderId="53" xfId="0" applyFont="1" applyFill="1" applyBorder="1" applyAlignment="1" applyProtection="1">
      <alignment horizontal="center" vertical="center"/>
      <protection locked="0"/>
    </xf>
    <xf numFmtId="0" fontId="29" fillId="7" borderId="43" xfId="0" applyFont="1" applyFill="1" applyBorder="1" applyAlignment="1" applyProtection="1">
      <alignment horizontal="center" vertical="center"/>
      <protection locked="0"/>
    </xf>
    <xf numFmtId="0" fontId="29" fillId="7" borderId="44" xfId="0" applyFont="1" applyFill="1" applyBorder="1" applyAlignment="1" applyProtection="1">
      <alignment horizontal="center" vertical="center"/>
      <protection locked="0"/>
    </xf>
    <xf numFmtId="1" fontId="29" fillId="7" borderId="63" xfId="0" applyNumberFormat="1" applyFont="1" applyFill="1" applyBorder="1" applyAlignment="1" applyProtection="1">
      <alignment horizontal="center" vertical="center"/>
      <protection locked="0"/>
    </xf>
    <xf numFmtId="164" fontId="2" fillId="0" borderId="0" xfId="0" applyNumberFormat="1" applyFont="1" applyAlignment="1">
      <alignment horizontal="right" vertical="center"/>
    </xf>
    <xf numFmtId="2" fontId="2" fillId="0" borderId="0" xfId="3" applyNumberFormat="1" applyFont="1" applyBorder="1" applyAlignment="1" applyProtection="1">
      <alignment vertical="center"/>
    </xf>
    <xf numFmtId="164" fontId="31" fillId="7" borderId="42" xfId="0" applyNumberFormat="1" applyFont="1" applyFill="1" applyBorder="1" applyAlignment="1" applyProtection="1">
      <alignment horizontal="center"/>
      <protection locked="0"/>
    </xf>
    <xf numFmtId="0" fontId="39" fillId="3" borderId="36" xfId="0" applyFont="1" applyFill="1" applyBorder="1"/>
    <xf numFmtId="0" fontId="39" fillId="3" borderId="39" xfId="0" applyFont="1" applyFill="1" applyBorder="1"/>
    <xf numFmtId="2" fontId="31" fillId="3" borderId="28" xfId="0" applyNumberFormat="1" applyFont="1" applyFill="1" applyBorder="1" applyAlignment="1">
      <alignment horizontal="center"/>
    </xf>
    <xf numFmtId="2" fontId="29" fillId="3" borderId="28" xfId="0" applyNumberFormat="1" applyFont="1" applyFill="1" applyBorder="1" applyAlignment="1">
      <alignment horizontal="center"/>
    </xf>
    <xf numFmtId="168" fontId="31" fillId="0" borderId="0" xfId="0" applyNumberFormat="1" applyFont="1" applyAlignment="1">
      <alignment horizontal="center"/>
    </xf>
    <xf numFmtId="0" fontId="31" fillId="0" borderId="33" xfId="0" applyFont="1" applyBorder="1" applyAlignment="1">
      <alignment horizontal="right" vertical="center"/>
    </xf>
    <xf numFmtId="2" fontId="39" fillId="0" borderId="33" xfId="0" applyNumberFormat="1" applyFont="1" applyBorder="1" applyAlignment="1">
      <alignment horizontal="center" vertical="center"/>
    </xf>
    <xf numFmtId="164" fontId="31" fillId="7" borderId="28" xfId="0" applyNumberFormat="1" applyFont="1" applyFill="1" applyBorder="1" applyAlignment="1" applyProtection="1">
      <alignment horizontal="center"/>
      <protection locked="0"/>
    </xf>
    <xf numFmtId="1" fontId="39" fillId="0" borderId="33" xfId="0" applyNumberFormat="1" applyFont="1" applyBorder="1" applyAlignment="1">
      <alignment horizontal="center" vertical="center"/>
    </xf>
    <xf numFmtId="0" fontId="54" fillId="0" borderId="7" xfId="0" applyFont="1" applyBorder="1" applyAlignment="1">
      <alignment horizontal="center" vertical="center"/>
    </xf>
    <xf numFmtId="0" fontId="29" fillId="7" borderId="72" xfId="0" applyFont="1" applyFill="1" applyBorder="1" applyAlignment="1" applyProtection="1">
      <alignment horizontal="center"/>
      <protection locked="0"/>
    </xf>
    <xf numFmtId="0" fontId="29" fillId="7" borderId="49" xfId="0" applyFont="1" applyFill="1" applyBorder="1" applyAlignment="1" applyProtection="1">
      <alignment horizontal="center"/>
      <protection locked="0"/>
    </xf>
    <xf numFmtId="0" fontId="29" fillId="7" borderId="49" xfId="0" applyFont="1" applyFill="1" applyBorder="1" applyAlignment="1" applyProtection="1">
      <alignment horizontal="center" vertical="center" wrapText="1"/>
      <protection locked="0"/>
    </xf>
    <xf numFmtId="0" fontId="29" fillId="7" borderId="43" xfId="0" applyFont="1" applyFill="1" applyBorder="1" applyAlignment="1" applyProtection="1">
      <alignment horizontal="center" vertical="center" wrapText="1"/>
      <protection locked="0"/>
    </xf>
    <xf numFmtId="1" fontId="31" fillId="7" borderId="0" xfId="0" applyNumberFormat="1" applyFont="1" applyFill="1" applyAlignment="1" applyProtection="1">
      <alignment horizontal="center"/>
      <protection locked="0"/>
    </xf>
    <xf numFmtId="164" fontId="31" fillId="7" borderId="0" xfId="0" applyNumberFormat="1" applyFont="1" applyFill="1" applyAlignment="1" applyProtection="1">
      <alignment horizontal="center"/>
      <protection locked="0"/>
    </xf>
    <xf numFmtId="0" fontId="39" fillId="0" borderId="39" xfId="0" applyFont="1" applyBorder="1" applyAlignment="1">
      <alignment horizontal="center" vertical="center"/>
    </xf>
    <xf numFmtId="1" fontId="31" fillId="0" borderId="24" xfId="0" applyNumberFormat="1" applyFont="1" applyBorder="1" applyAlignment="1">
      <alignment horizontal="center" vertical="center"/>
    </xf>
    <xf numFmtId="1" fontId="31" fillId="0" borderId="34" xfId="0" applyNumberFormat="1" applyFont="1" applyBorder="1" applyAlignment="1">
      <alignment horizontal="center" vertical="center"/>
    </xf>
    <xf numFmtId="0" fontId="0" fillId="0" borderId="51" xfId="0" applyBorder="1" applyAlignment="1">
      <alignment horizontal="center" vertical="center"/>
    </xf>
    <xf numFmtId="0" fontId="10" fillId="0" borderId="0" xfId="0" applyFont="1" applyAlignment="1">
      <alignment vertical="center" wrapText="1"/>
    </xf>
    <xf numFmtId="168" fontId="31" fillId="0" borderId="37" xfId="0" applyNumberFormat="1" applyFont="1" applyBorder="1" applyAlignment="1">
      <alignment horizontal="center"/>
    </xf>
    <xf numFmtId="168" fontId="31" fillId="0" borderId="36" xfId="0" applyNumberFormat="1" applyFont="1" applyBorder="1" applyAlignment="1">
      <alignment horizontal="center"/>
    </xf>
    <xf numFmtId="2" fontId="0" fillId="0" borderId="12" xfId="0" applyNumberFormat="1" applyBorder="1" applyAlignment="1">
      <alignment horizontal="center" vertical="center"/>
    </xf>
    <xf numFmtId="2" fontId="0" fillId="0" borderId="55" xfId="0" applyNumberFormat="1"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174" fontId="0" fillId="0" borderId="22" xfId="0" applyNumberFormat="1" applyBorder="1" applyAlignment="1">
      <alignment horizontal="center" vertical="center"/>
    </xf>
    <xf numFmtId="0" fontId="0" fillId="0" borderId="64" xfId="0" applyBorder="1" applyAlignment="1">
      <alignment horizontal="center" vertical="center"/>
    </xf>
    <xf numFmtId="0" fontId="0" fillId="3" borderId="12" xfId="0" applyFill="1" applyBorder="1" applyAlignment="1">
      <alignment horizontal="center" vertical="center"/>
    </xf>
    <xf numFmtId="0" fontId="0" fillId="3" borderId="51" xfId="0" applyFill="1" applyBorder="1" applyAlignment="1">
      <alignment horizontal="center" vertical="center"/>
    </xf>
    <xf numFmtId="0" fontId="0" fillId="3" borderId="55" xfId="0" applyFill="1" applyBorder="1" applyAlignment="1">
      <alignment horizontal="center" vertical="center"/>
    </xf>
    <xf numFmtId="164" fontId="0" fillId="0" borderId="55" xfId="0" applyNumberFormat="1" applyBorder="1" applyAlignment="1">
      <alignment horizontal="center" vertical="center"/>
    </xf>
    <xf numFmtId="0" fontId="0" fillId="0" borderId="19" xfId="0" applyBorder="1" applyAlignment="1">
      <alignment horizontal="center" vertical="center"/>
    </xf>
    <xf numFmtId="0" fontId="0" fillId="0" borderId="49" xfId="0" applyBorder="1" applyAlignment="1">
      <alignment horizontal="center" vertical="center"/>
    </xf>
    <xf numFmtId="0" fontId="0" fillId="0" borderId="43" xfId="0" applyBorder="1" applyAlignment="1">
      <alignment horizontal="center" vertical="center"/>
    </xf>
    <xf numFmtId="0" fontId="0" fillId="0" borderId="7" xfId="0" applyBorder="1" applyAlignment="1">
      <alignment horizontal="center" vertical="center"/>
    </xf>
    <xf numFmtId="0" fontId="0" fillId="0" borderId="9" xfId="0" applyBorder="1" applyAlignment="1">
      <alignment horizontal="center" vertical="center"/>
    </xf>
    <xf numFmtId="164" fontId="0" fillId="0" borderId="9" xfId="0" applyNumberFormat="1" applyBorder="1" applyAlignment="1">
      <alignment horizontal="center" vertical="center"/>
    </xf>
    <xf numFmtId="0" fontId="0" fillId="0" borderId="44" xfId="0" applyBorder="1" applyAlignment="1">
      <alignment horizontal="center" vertical="center"/>
    </xf>
    <xf numFmtId="0" fontId="0" fillId="0" borderId="45" xfId="0" applyBorder="1" applyAlignment="1">
      <alignment horizontal="center" vertical="center"/>
    </xf>
    <xf numFmtId="164" fontId="0" fillId="0" borderId="43" xfId="0" applyNumberFormat="1" applyBorder="1" applyAlignment="1">
      <alignment horizontal="center" vertical="center"/>
    </xf>
    <xf numFmtId="164" fontId="0" fillId="0" borderId="49" xfId="0" applyNumberFormat="1" applyBorder="1" applyAlignment="1">
      <alignment horizontal="center" vertical="center"/>
    </xf>
    <xf numFmtId="164" fontId="0" fillId="0" borderId="44" xfId="0" applyNumberFormat="1" applyBorder="1" applyAlignment="1">
      <alignment horizontal="center" vertical="center"/>
    </xf>
    <xf numFmtId="0" fontId="0" fillId="0" borderId="39" xfId="0" applyBorder="1" applyAlignment="1">
      <alignment horizontal="center" vertical="center"/>
    </xf>
    <xf numFmtId="164" fontId="0" fillId="0" borderId="63" xfId="0" applyNumberFormat="1" applyBorder="1" applyAlignment="1">
      <alignment horizontal="center" vertical="center"/>
    </xf>
    <xf numFmtId="49" fontId="18" fillId="0" borderId="40" xfId="0" applyNumberFormat="1" applyFont="1" applyBorder="1" applyAlignment="1">
      <alignment horizontal="center" vertical="center"/>
    </xf>
    <xf numFmtId="0" fontId="0" fillId="0" borderId="72" xfId="0" applyBorder="1" applyAlignment="1">
      <alignment horizontal="center" vertical="center"/>
    </xf>
    <xf numFmtId="0" fontId="0" fillId="0" borderId="11" xfId="0" applyBorder="1" applyAlignment="1">
      <alignment horizontal="center" vertical="center"/>
    </xf>
    <xf numFmtId="0" fontId="0" fillId="0" borderId="41" xfId="0" applyBorder="1" applyAlignment="1">
      <alignment horizontal="center" vertical="center"/>
    </xf>
    <xf numFmtId="1" fontId="31" fillId="0" borderId="38" xfId="0" applyNumberFormat="1" applyFont="1" applyBorder="1" applyAlignment="1">
      <alignment horizontal="center" vertical="center"/>
    </xf>
    <xf numFmtId="1" fontId="0" fillId="0" borderId="22" xfId="0" applyNumberFormat="1" applyBorder="1" applyAlignment="1">
      <alignment horizontal="center" vertical="center"/>
    </xf>
    <xf numFmtId="0" fontId="0" fillId="3" borderId="63" xfId="0" applyFill="1" applyBorder="1" applyAlignment="1">
      <alignment horizontal="center" vertical="center"/>
    </xf>
    <xf numFmtId="0" fontId="0" fillId="0" borderId="10" xfId="0" applyBorder="1" applyAlignment="1">
      <alignment horizontal="center" vertical="center"/>
    </xf>
    <xf numFmtId="0" fontId="0" fillId="0" borderId="14" xfId="0" applyBorder="1" applyAlignment="1">
      <alignment horizontal="center" vertical="center"/>
    </xf>
    <xf numFmtId="2" fontId="0" fillId="0" borderId="65" xfId="0" applyNumberFormat="1" applyBorder="1" applyAlignment="1">
      <alignment horizontal="center" vertical="center"/>
    </xf>
    <xf numFmtId="164" fontId="0" fillId="0" borderId="39" xfId="0" applyNumberFormat="1" applyBorder="1" applyAlignment="1">
      <alignment horizontal="center" vertical="center"/>
    </xf>
    <xf numFmtId="1" fontId="0" fillId="0" borderId="49" xfId="0" applyNumberFormat="1" applyBorder="1" applyAlignment="1">
      <alignment horizontal="center" vertical="center"/>
    </xf>
    <xf numFmtId="2" fontId="0" fillId="0" borderId="43" xfId="0" applyNumberFormat="1" applyBorder="1" applyAlignment="1">
      <alignment horizontal="center" vertical="center"/>
    </xf>
    <xf numFmtId="2" fontId="0" fillId="0" borderId="0" xfId="0" applyNumberFormat="1" applyAlignment="1">
      <alignment horizontal="center" vertical="center"/>
    </xf>
    <xf numFmtId="1" fontId="0" fillId="0" borderId="15" xfId="0" applyNumberFormat="1" applyBorder="1" applyAlignment="1">
      <alignment horizontal="center" vertical="center"/>
    </xf>
    <xf numFmtId="1" fontId="0" fillId="0" borderId="45" xfId="0" applyNumberFormat="1" applyBorder="1" applyAlignment="1">
      <alignment horizontal="center" vertical="center"/>
    </xf>
    <xf numFmtId="1" fontId="0" fillId="0" borderId="33" xfId="0" applyNumberFormat="1" applyBorder="1" applyAlignment="1">
      <alignment horizontal="center" vertical="center"/>
    </xf>
    <xf numFmtId="1" fontId="0" fillId="0" borderId="43" xfId="0" applyNumberFormat="1" applyBorder="1" applyAlignment="1">
      <alignment horizontal="center" vertical="center"/>
    </xf>
    <xf numFmtId="1" fontId="0" fillId="0" borderId="72" xfId="0" applyNumberFormat="1" applyBorder="1" applyAlignment="1">
      <alignment horizontal="center" vertical="center"/>
    </xf>
    <xf numFmtId="1" fontId="0" fillId="0" borderId="39" xfId="0" applyNumberFormat="1" applyBorder="1" applyAlignment="1">
      <alignment horizontal="center" vertical="center"/>
    </xf>
    <xf numFmtId="0" fontId="39" fillId="0" borderId="0" xfId="0" applyFont="1" applyAlignment="1">
      <alignment horizontal="center" vertical="center"/>
    </xf>
    <xf numFmtId="0" fontId="39" fillId="0" borderId="36" xfId="0" applyFont="1" applyBorder="1" applyAlignment="1">
      <alignment horizontal="center" vertical="center"/>
    </xf>
    <xf numFmtId="0" fontId="39" fillId="0" borderId="36" xfId="0" applyFont="1" applyBorder="1" applyAlignment="1">
      <alignment horizontal="right" vertical="center"/>
    </xf>
    <xf numFmtId="0" fontId="39" fillId="0" borderId="39" xfId="0" applyFont="1" applyBorder="1" applyAlignment="1">
      <alignment horizontal="right" vertical="center"/>
    </xf>
    <xf numFmtId="2" fontId="39" fillId="0" borderId="39" xfId="0" applyNumberFormat="1" applyFont="1" applyBorder="1" applyAlignment="1">
      <alignment horizontal="center" vertical="center"/>
    </xf>
    <xf numFmtId="0" fontId="39" fillId="0" borderId="36" xfId="0" applyFont="1" applyBorder="1" applyAlignment="1">
      <alignment horizontal="left" vertical="center"/>
    </xf>
    <xf numFmtId="0" fontId="39" fillId="0" borderId="39" xfId="0" applyFont="1" applyBorder="1" applyAlignment="1">
      <alignment horizontal="left" vertical="center"/>
    </xf>
    <xf numFmtId="164" fontId="29" fillId="7" borderId="36" xfId="3" applyNumberFormat="1" applyFont="1" applyFill="1" applyBorder="1" applyAlignment="1" applyProtection="1">
      <alignment horizontal="center"/>
      <protection locked="0"/>
    </xf>
    <xf numFmtId="164" fontId="29" fillId="7" borderId="37" xfId="3" applyNumberFormat="1" applyFont="1" applyFill="1" applyBorder="1" applyAlignment="1" applyProtection="1">
      <alignment horizontal="center"/>
      <protection locked="0"/>
    </xf>
    <xf numFmtId="164" fontId="29" fillId="7" borderId="39" xfId="3" applyNumberFormat="1" applyFont="1" applyFill="1" applyBorder="1" applyAlignment="1" applyProtection="1">
      <alignment horizontal="center"/>
      <protection locked="0"/>
    </xf>
    <xf numFmtId="1" fontId="0" fillId="0" borderId="9" xfId="0" applyNumberFormat="1" applyBorder="1" applyAlignment="1">
      <alignment horizontal="center" vertical="center"/>
    </xf>
    <xf numFmtId="1" fontId="0" fillId="0" borderId="2" xfId="0" applyNumberFormat="1" applyBorder="1" applyAlignment="1">
      <alignment horizontal="center" vertical="center"/>
    </xf>
    <xf numFmtId="174" fontId="0" fillId="0" borderId="49" xfId="0" applyNumberFormat="1" applyBorder="1" applyAlignment="1">
      <alignment horizontal="center" vertical="center"/>
    </xf>
    <xf numFmtId="168" fontId="0" fillId="0" borderId="49" xfId="0" applyNumberFormat="1" applyBorder="1" applyAlignment="1">
      <alignment horizontal="center" vertical="center"/>
    </xf>
    <xf numFmtId="1" fontId="0" fillId="0" borderId="11" xfId="0" applyNumberFormat="1" applyBorder="1" applyAlignment="1">
      <alignment horizontal="center" vertical="center"/>
    </xf>
    <xf numFmtId="164" fontId="29" fillId="0" borderId="33" xfId="0" applyNumberFormat="1" applyFont="1" applyBorder="1" applyAlignment="1">
      <alignment horizontal="center"/>
    </xf>
    <xf numFmtId="164" fontId="31" fillId="0" borderId="10" xfId="3" applyNumberFormat="1" applyFont="1" applyBorder="1" applyAlignment="1" applyProtection="1">
      <alignment horizontal="center"/>
    </xf>
    <xf numFmtId="164" fontId="31" fillId="0" borderId="14" xfId="3" applyNumberFormat="1" applyFont="1" applyBorder="1" applyAlignment="1" applyProtection="1">
      <alignment horizontal="center"/>
    </xf>
    <xf numFmtId="164" fontId="31" fillId="0" borderId="53" xfId="3" applyNumberFormat="1" applyFont="1" applyBorder="1" applyAlignment="1" applyProtection="1">
      <alignment horizontal="center"/>
    </xf>
    <xf numFmtId="0" fontId="31" fillId="0" borderId="40" xfId="0" applyFont="1" applyBorder="1" applyAlignment="1">
      <alignment horizontal="center" vertical="center"/>
    </xf>
    <xf numFmtId="0" fontId="31" fillId="0" borderId="49" xfId="0" applyFont="1" applyBorder="1" applyAlignment="1">
      <alignment horizontal="center" vertical="center"/>
    </xf>
    <xf numFmtId="0" fontId="31" fillId="0" borderId="43" xfId="0" applyFont="1" applyBorder="1" applyAlignment="1">
      <alignment horizontal="center" vertical="center"/>
    </xf>
    <xf numFmtId="167" fontId="31" fillId="0" borderId="35" xfId="0" applyNumberFormat="1" applyFont="1" applyBorder="1" applyAlignment="1">
      <alignment horizontal="center"/>
    </xf>
    <xf numFmtId="167" fontId="31" fillId="0" borderId="20" xfId="0" applyNumberFormat="1" applyFont="1" applyBorder="1" applyAlignment="1">
      <alignment horizontal="center"/>
    </xf>
    <xf numFmtId="167" fontId="31" fillId="0" borderId="29" xfId="0" applyNumberFormat="1" applyFont="1" applyBorder="1" applyAlignment="1">
      <alignment horizontal="center"/>
    </xf>
    <xf numFmtId="1" fontId="39" fillId="0" borderId="34" xfId="0" applyNumberFormat="1" applyFont="1" applyBorder="1" applyAlignment="1">
      <alignment horizontal="center" vertical="center"/>
    </xf>
    <xf numFmtId="1" fontId="39" fillId="0" borderId="24" xfId="0" applyNumberFormat="1" applyFont="1" applyBorder="1" applyAlignment="1">
      <alignment horizontal="center" vertical="center"/>
    </xf>
    <xf numFmtId="1" fontId="39" fillId="0" borderId="38" xfId="0" applyNumberFormat="1" applyFont="1" applyBorder="1" applyAlignment="1">
      <alignment horizontal="center" vertical="center"/>
    </xf>
    <xf numFmtId="164" fontId="0" fillId="0" borderId="40" xfId="0" applyNumberFormat="1" applyBorder="1" applyAlignment="1">
      <alignment horizontal="center" vertical="center"/>
    </xf>
    <xf numFmtId="164" fontId="0" fillId="0" borderId="72" xfId="0" applyNumberFormat="1" applyBorder="1" applyAlignment="1">
      <alignment horizontal="center" vertical="center"/>
    </xf>
    <xf numFmtId="2" fontId="0" fillId="0" borderId="49" xfId="0" applyNumberFormat="1" applyBorder="1" applyAlignment="1">
      <alignment horizontal="center" vertical="center"/>
    </xf>
    <xf numFmtId="2" fontId="29" fillId="7" borderId="35" xfId="0" applyNumberFormat="1" applyFont="1" applyFill="1" applyBorder="1" applyAlignment="1" applyProtection="1">
      <alignment horizontal="center"/>
      <protection locked="0"/>
    </xf>
    <xf numFmtId="164" fontId="39" fillId="0" borderId="0" xfId="0" applyNumberFormat="1" applyFont="1"/>
    <xf numFmtId="2" fontId="39" fillId="0" borderId="0" xfId="0" applyNumberFormat="1" applyFont="1" applyAlignment="1">
      <alignment horizontal="center" vertical="center"/>
    </xf>
    <xf numFmtId="0" fontId="22" fillId="0" borderId="68" xfId="0" applyFont="1" applyBorder="1"/>
    <xf numFmtId="0" fontId="21" fillId="7" borderId="6" xfId="0" applyFont="1" applyFill="1" applyBorder="1" applyAlignment="1" applyProtection="1">
      <alignment horizontal="left"/>
      <protection locked="0"/>
    </xf>
    <xf numFmtId="0" fontId="18" fillId="0" borderId="43" xfId="0" applyFont="1" applyBorder="1" applyAlignment="1">
      <alignment horizontal="center" vertical="center"/>
    </xf>
    <xf numFmtId="0" fontId="26" fillId="0" borderId="40" xfId="0" applyFont="1" applyBorder="1" applyAlignment="1">
      <alignment horizontal="center" vertical="center"/>
    </xf>
    <xf numFmtId="0" fontId="26" fillId="0" borderId="49" xfId="0" applyFont="1" applyBorder="1" applyAlignment="1">
      <alignment horizontal="center" vertical="center"/>
    </xf>
    <xf numFmtId="0" fontId="26" fillId="0" borderId="43" xfId="0" applyFont="1" applyBorder="1" applyAlignment="1">
      <alignment horizontal="center" vertical="center"/>
    </xf>
    <xf numFmtId="0" fontId="21" fillId="0" borderId="23" xfId="0" applyFont="1" applyBorder="1" applyAlignment="1">
      <alignment horizontal="left"/>
    </xf>
    <xf numFmtId="164" fontId="22" fillId="0" borderId="10" xfId="0" applyNumberFormat="1" applyFont="1" applyBorder="1" applyAlignment="1">
      <alignment horizontal="center" vertical="center"/>
    </xf>
    <xf numFmtId="164" fontId="22" fillId="0" borderId="14" xfId="0" applyNumberFormat="1" applyFont="1" applyBorder="1" applyAlignment="1">
      <alignment horizontal="center" vertical="center"/>
    </xf>
    <xf numFmtId="164" fontId="22" fillId="0" borderId="53" xfId="0" applyNumberFormat="1" applyFont="1" applyBorder="1" applyAlignment="1">
      <alignment horizontal="center" vertical="center"/>
    </xf>
    <xf numFmtId="164" fontId="22" fillId="0" borderId="65" xfId="0" applyNumberFormat="1" applyFont="1" applyBorder="1" applyAlignment="1">
      <alignment horizontal="center" vertical="center"/>
    </xf>
    <xf numFmtId="1" fontId="22" fillId="0" borderId="41" xfId="0" applyNumberFormat="1" applyFont="1" applyBorder="1" applyAlignment="1">
      <alignment horizontal="center" vertical="center"/>
    </xf>
    <xf numFmtId="1" fontId="22" fillId="0" borderId="15" xfId="0" applyNumberFormat="1" applyFont="1" applyBorder="1" applyAlignment="1">
      <alignment horizontal="center" vertical="center"/>
    </xf>
    <xf numFmtId="1" fontId="22" fillId="0" borderId="45" xfId="0" applyNumberFormat="1" applyFont="1" applyBorder="1" applyAlignment="1">
      <alignment horizontal="center" vertical="center"/>
    </xf>
    <xf numFmtId="1" fontId="22" fillId="0" borderId="7" xfId="0" applyNumberFormat="1" applyFont="1" applyBorder="1" applyAlignment="1">
      <alignment horizontal="center" vertical="center"/>
    </xf>
    <xf numFmtId="0" fontId="0" fillId="0" borderId="36" xfId="0" applyBorder="1" applyAlignment="1">
      <alignment horizontal="center" vertical="center"/>
    </xf>
    <xf numFmtId="164" fontId="62" fillId="0" borderId="0" xfId="0" applyNumberFormat="1" applyFont="1" applyAlignment="1">
      <alignment horizontal="center" vertical="center"/>
    </xf>
    <xf numFmtId="1" fontId="22" fillId="0" borderId="44" xfId="0" applyNumberFormat="1" applyFont="1" applyBorder="1" applyAlignment="1">
      <alignment horizontal="center" vertical="center"/>
    </xf>
    <xf numFmtId="0" fontId="21" fillId="0" borderId="37" xfId="0" applyFont="1" applyBorder="1" applyAlignment="1">
      <alignment horizontal="center" vertical="center"/>
    </xf>
    <xf numFmtId="0" fontId="21" fillId="0" borderId="43" xfId="0" applyFont="1" applyBorder="1" applyAlignment="1">
      <alignment horizontal="center" vertical="center"/>
    </xf>
    <xf numFmtId="49" fontId="0" fillId="0" borderId="0" xfId="0" applyNumberFormat="1" applyAlignment="1">
      <alignment horizontal="left" vertical="center"/>
    </xf>
    <xf numFmtId="49" fontId="20" fillId="0" borderId="0" xfId="0" applyNumberFormat="1" applyFont="1" applyAlignment="1">
      <alignment horizontal="left" vertical="center"/>
    </xf>
    <xf numFmtId="49" fontId="9" fillId="0" borderId="0" xfId="0" applyNumberFormat="1" applyFont="1" applyAlignment="1">
      <alignment horizontal="left" vertical="center"/>
    </xf>
    <xf numFmtId="49" fontId="9" fillId="0" borderId="0" xfId="0" applyNumberFormat="1" applyFont="1" applyAlignment="1">
      <alignment vertical="center"/>
    </xf>
    <xf numFmtId="49" fontId="10" fillId="0" borderId="0" xfId="0" applyNumberFormat="1" applyFont="1" applyAlignment="1">
      <alignment horizontal="left" vertical="center"/>
    </xf>
    <xf numFmtId="49" fontId="10" fillId="0" borderId="0" xfId="0" applyNumberFormat="1" applyFont="1" applyAlignment="1">
      <alignment vertical="center"/>
    </xf>
    <xf numFmtId="49" fontId="7" fillId="0" borderId="0" xfId="0" applyNumberFormat="1" applyFont="1" applyAlignment="1">
      <alignment horizontal="left" vertical="center"/>
    </xf>
    <xf numFmtId="49" fontId="11" fillId="0" borderId="0" xfId="0" applyNumberFormat="1" applyFont="1" applyAlignment="1">
      <alignment horizontal="left" vertical="center"/>
    </xf>
    <xf numFmtId="49" fontId="12" fillId="0" borderId="0" xfId="0" applyNumberFormat="1" applyFont="1" applyAlignment="1">
      <alignment horizontal="left" vertical="center"/>
    </xf>
    <xf numFmtId="49" fontId="6" fillId="0" borderId="0" xfId="0" applyNumberFormat="1" applyFont="1" applyAlignment="1">
      <alignment horizontal="left" vertical="center"/>
    </xf>
    <xf numFmtId="49" fontId="8" fillId="0" borderId="0" xfId="0" applyNumberFormat="1" applyFont="1" applyAlignment="1">
      <alignment horizontal="left" vertical="center"/>
    </xf>
    <xf numFmtId="49" fontId="9" fillId="0" borderId="0" xfId="0" applyNumberFormat="1" applyFont="1" applyAlignment="1">
      <alignment horizontal="left" vertical="center" wrapText="1"/>
    </xf>
    <xf numFmtId="49" fontId="0" fillId="0" borderId="0" xfId="0" applyNumberFormat="1" applyAlignment="1">
      <alignment horizontal="left" vertical="center" wrapText="1"/>
    </xf>
    <xf numFmtId="49" fontId="9" fillId="0" borderId="0" xfId="0" quotePrefix="1" applyNumberFormat="1" applyFont="1" applyAlignment="1">
      <alignment horizontal="left" vertical="center" wrapText="1"/>
    </xf>
    <xf numFmtId="0" fontId="0" fillId="0" borderId="29" xfId="0" applyBorder="1" applyAlignment="1">
      <alignment horizontal="center" vertical="center"/>
    </xf>
    <xf numFmtId="0" fontId="0" fillId="0" borderId="33" xfId="0" applyBorder="1" applyAlignment="1">
      <alignment horizontal="center" vertical="center" wrapText="1"/>
    </xf>
    <xf numFmtId="0" fontId="0" fillId="0" borderId="40" xfId="0" applyBorder="1" applyAlignment="1">
      <alignment wrapText="1"/>
    </xf>
    <xf numFmtId="0" fontId="0" fillId="0" borderId="49" xfId="0" applyBorder="1" applyAlignment="1">
      <alignment wrapText="1"/>
    </xf>
    <xf numFmtId="0" fontId="0" fillId="0" borderId="43" xfId="0" applyBorder="1" applyAlignment="1">
      <alignment wrapText="1"/>
    </xf>
    <xf numFmtId="2" fontId="8" fillId="0" borderId="11" xfId="0" applyNumberFormat="1" applyFont="1" applyBorder="1" applyAlignment="1">
      <alignment horizontal="center" vertical="center"/>
    </xf>
    <xf numFmtId="1" fontId="8" fillId="0" borderId="9" xfId="0" applyNumberFormat="1" applyFont="1" applyBorder="1" applyAlignment="1">
      <alignment horizontal="center" vertical="center"/>
    </xf>
    <xf numFmtId="2" fontId="7" fillId="0" borderId="44" xfId="0" applyNumberFormat="1" applyFont="1" applyBorder="1" applyAlignment="1">
      <alignment horizontal="center" vertical="center"/>
    </xf>
    <xf numFmtId="0" fontId="21" fillId="7" borderId="52" xfId="0" applyFont="1" applyFill="1" applyBorder="1" applyAlignment="1" applyProtection="1">
      <alignment horizontal="center" vertical="center"/>
      <protection locked="0"/>
    </xf>
    <xf numFmtId="49" fontId="9" fillId="0" borderId="19" xfId="0" applyNumberFormat="1" applyFont="1" applyBorder="1" applyAlignment="1">
      <alignment horizontal="center" vertical="center"/>
    </xf>
    <xf numFmtId="1" fontId="9" fillId="0" borderId="19" xfId="0" applyNumberFormat="1" applyFont="1" applyBorder="1" applyAlignment="1">
      <alignment horizontal="center" vertical="center"/>
    </xf>
    <xf numFmtId="164" fontId="9" fillId="0" borderId="72" xfId="0" applyNumberFormat="1" applyFont="1" applyBorder="1" applyAlignment="1">
      <alignment horizontal="center" vertical="center"/>
    </xf>
    <xf numFmtId="0" fontId="8" fillId="0" borderId="23" xfId="0" applyFont="1" applyBorder="1" applyAlignment="1">
      <alignment horizontal="center" vertical="center"/>
    </xf>
    <xf numFmtId="2" fontId="9" fillId="0" borderId="19" xfId="0" applyNumberFormat="1" applyFont="1" applyBorder="1" applyAlignment="1">
      <alignment horizontal="center" vertical="center"/>
    </xf>
    <xf numFmtId="164" fontId="9" fillId="0" borderId="49" xfId="0" applyNumberFormat="1" applyFont="1" applyBorder="1" applyAlignment="1">
      <alignment horizontal="center" vertical="center"/>
    </xf>
    <xf numFmtId="0" fontId="8" fillId="0" borderId="15" xfId="0" applyFont="1" applyBorder="1" applyAlignment="1">
      <alignment horizontal="center" vertical="center"/>
    </xf>
    <xf numFmtId="49" fontId="9" fillId="0" borderId="38" xfId="0" applyNumberFormat="1" applyFont="1" applyBorder="1" applyAlignment="1">
      <alignment horizontal="center" vertical="center"/>
    </xf>
    <xf numFmtId="2" fontId="9" fillId="0" borderId="38" xfId="0" applyNumberFormat="1" applyFont="1" applyBorder="1" applyAlignment="1">
      <alignment horizontal="center" vertical="center"/>
    </xf>
    <xf numFmtId="164" fontId="9" fillId="0" borderId="43" xfId="0" applyNumberFormat="1" applyFont="1" applyBorder="1" applyAlignment="1">
      <alignment horizontal="center" vertical="center"/>
    </xf>
    <xf numFmtId="0" fontId="8" fillId="0" borderId="45" xfId="0" applyFont="1" applyBorder="1" applyAlignment="1">
      <alignment horizontal="center" vertical="center"/>
    </xf>
    <xf numFmtId="164" fontId="26" fillId="0" borderId="39" xfId="0" applyNumberFormat="1" applyFont="1" applyBorder="1" applyAlignment="1">
      <alignment horizontal="center" vertical="center" wrapText="1"/>
    </xf>
    <xf numFmtId="0" fontId="18" fillId="0" borderId="0" xfId="2" applyFont="1" applyAlignment="1">
      <alignment vertical="center"/>
    </xf>
    <xf numFmtId="0" fontId="39" fillId="0" borderId="0" xfId="0" applyFont="1" applyAlignment="1">
      <alignment vertical="center"/>
    </xf>
    <xf numFmtId="0" fontId="41" fillId="0" borderId="0" xfId="0" applyFont="1" applyAlignment="1">
      <alignment vertical="center"/>
    </xf>
    <xf numFmtId="168" fontId="41" fillId="0" borderId="0" xfId="0" applyNumberFormat="1" applyFont="1" applyAlignment="1">
      <alignment vertical="center"/>
    </xf>
    <xf numFmtId="0" fontId="0" fillId="0" borderId="20" xfId="0" applyBorder="1" applyAlignment="1">
      <alignment wrapText="1"/>
    </xf>
    <xf numFmtId="0" fontId="18" fillId="0" borderId="0" xfId="2" applyFont="1" applyAlignment="1">
      <alignment horizontal="center" vertical="center"/>
    </xf>
    <xf numFmtId="0" fontId="18" fillId="0" borderId="28" xfId="2" applyFont="1" applyBorder="1" applyAlignment="1">
      <alignment horizontal="center" vertical="center"/>
    </xf>
    <xf numFmtId="0" fontId="18" fillId="0" borderId="24" xfId="2" applyFont="1" applyBorder="1" applyAlignment="1">
      <alignment horizontal="center" vertical="center"/>
    </xf>
    <xf numFmtId="49" fontId="22" fillId="0" borderId="0" xfId="0" applyNumberFormat="1" applyFont="1" applyAlignment="1">
      <alignment vertical="center"/>
    </xf>
    <xf numFmtId="49" fontId="21" fillId="0" borderId="0" xfId="0" applyNumberFormat="1" applyFont="1" applyAlignment="1">
      <alignment vertical="center"/>
    </xf>
    <xf numFmtId="49" fontId="20" fillId="0" borderId="0" xfId="0" applyNumberFormat="1" applyFont="1" applyAlignment="1">
      <alignment vertical="center"/>
    </xf>
    <xf numFmtId="49" fontId="0" fillId="0" borderId="0" xfId="0" applyNumberFormat="1" applyAlignment="1">
      <alignment horizontal="center" vertical="center"/>
    </xf>
    <xf numFmtId="49" fontId="41" fillId="0" borderId="0" xfId="0" applyNumberFormat="1" applyFont="1" applyAlignment="1">
      <alignment horizontal="center" vertical="center"/>
    </xf>
    <xf numFmtId="49" fontId="9" fillId="0" borderId="0" xfId="0" quotePrefix="1" applyNumberFormat="1" applyFont="1" applyAlignment="1">
      <alignment horizontal="left" vertical="center" wrapText="1" readingOrder="1"/>
    </xf>
    <xf numFmtId="0" fontId="29" fillId="2" borderId="32" xfId="0" applyFont="1" applyFill="1" applyBorder="1" applyAlignment="1">
      <alignment horizontal="left" vertical="center"/>
    </xf>
    <xf numFmtId="0" fontId="2" fillId="0" borderId="0" xfId="0" applyFont="1" applyAlignment="1">
      <alignment horizontal="center" vertical="center"/>
    </xf>
    <xf numFmtId="0" fontId="0" fillId="0" borderId="67" xfId="0" applyBorder="1" applyAlignment="1">
      <alignment horizontal="center" vertical="center"/>
    </xf>
    <xf numFmtId="0" fontId="0" fillId="0" borderId="63" xfId="0" applyBorder="1" applyAlignment="1">
      <alignment horizontal="center" vertical="center"/>
    </xf>
    <xf numFmtId="0" fontId="0" fillId="0" borderId="68" xfId="0" applyBorder="1" applyAlignment="1">
      <alignment horizontal="center" vertical="center"/>
    </xf>
    <xf numFmtId="0" fontId="0" fillId="0" borderId="59" xfId="0" applyBorder="1" applyAlignment="1">
      <alignment horizontal="center" vertical="center"/>
    </xf>
    <xf numFmtId="0" fontId="0" fillId="0" borderId="15" xfId="0" applyBorder="1" applyAlignment="1">
      <alignment horizontal="center" vertical="center"/>
    </xf>
    <xf numFmtId="0" fontId="0" fillId="0" borderId="31" xfId="0" applyBorder="1" applyAlignment="1">
      <alignment horizontal="center" vertical="center"/>
    </xf>
    <xf numFmtId="0" fontId="0" fillId="0" borderId="74" xfId="0" applyBorder="1" applyAlignment="1">
      <alignment horizontal="center" vertical="center"/>
    </xf>
    <xf numFmtId="49" fontId="18" fillId="0" borderId="49" xfId="0" applyNumberFormat="1" applyFont="1" applyBorder="1" applyAlignment="1">
      <alignment horizontal="center" vertical="center"/>
    </xf>
    <xf numFmtId="0" fontId="21" fillId="7" borderId="51" xfId="0" applyFont="1" applyFill="1" applyBorder="1" applyAlignment="1" applyProtection="1">
      <alignment horizontal="left"/>
      <protection locked="0"/>
    </xf>
    <xf numFmtId="0" fontId="0" fillId="0" borderId="32" xfId="0" applyBorder="1" applyAlignment="1">
      <alignment horizontal="left" vertical="center"/>
    </xf>
    <xf numFmtId="0" fontId="0" fillId="0" borderId="31" xfId="0" applyBorder="1" applyAlignment="1">
      <alignment horizontal="left" vertical="center"/>
    </xf>
    <xf numFmtId="0" fontId="18" fillId="0" borderId="34" xfId="0" applyFont="1" applyBorder="1" applyAlignment="1">
      <alignment horizontal="left"/>
    </xf>
    <xf numFmtId="0" fontId="18" fillId="0" borderId="42" xfId="0" applyFont="1" applyBorder="1" applyAlignment="1">
      <alignment horizontal="left"/>
    </xf>
    <xf numFmtId="0" fontId="18" fillId="0" borderId="35" xfId="0" applyFont="1" applyBorder="1"/>
    <xf numFmtId="0" fontId="31" fillId="0" borderId="0" xfId="0" applyFont="1" applyAlignment="1">
      <alignment horizontal="left" vertical="center"/>
    </xf>
    <xf numFmtId="1" fontId="31" fillId="0" borderId="0" xfId="0" applyNumberFormat="1" applyFont="1" applyAlignment="1">
      <alignment horizontal="center"/>
    </xf>
    <xf numFmtId="164" fontId="18" fillId="0" borderId="51" xfId="2" applyNumberFormat="1" applyFont="1" applyBorder="1" applyAlignment="1">
      <alignment horizontal="center" vertical="center"/>
    </xf>
    <xf numFmtId="49" fontId="2" fillId="0" borderId="34" xfId="0" applyNumberFormat="1" applyFont="1" applyBorder="1" applyAlignment="1">
      <alignment horizontal="center"/>
    </xf>
    <xf numFmtId="164" fontId="8" fillId="0" borderId="0" xfId="0" applyNumberFormat="1" applyFont="1" applyAlignment="1">
      <alignment horizontal="center" vertical="center"/>
    </xf>
    <xf numFmtId="0" fontId="20" fillId="0" borderId="59" xfId="0" applyFont="1" applyBorder="1" applyAlignment="1">
      <alignment horizontal="center" vertical="center"/>
    </xf>
    <xf numFmtId="0" fontId="22" fillId="0" borderId="64" xfId="0" applyFont="1" applyBorder="1"/>
    <xf numFmtId="0" fontId="22" fillId="0" borderId="52" xfId="0" applyFont="1" applyBorder="1" applyAlignment="1">
      <alignment vertical="center"/>
    </xf>
    <xf numFmtId="0" fontId="22" fillId="0" borderId="59" xfId="0" applyFont="1" applyBorder="1" applyAlignment="1">
      <alignment horizontal="left" vertical="center"/>
    </xf>
    <xf numFmtId="0" fontId="62" fillId="0" borderId="51" xfId="0" applyFont="1" applyBorder="1" applyAlignment="1">
      <alignment horizontal="center" vertical="center"/>
    </xf>
    <xf numFmtId="0" fontId="26" fillId="0" borderId="51" xfId="0" applyFont="1" applyBorder="1" applyAlignment="1">
      <alignment horizontal="left" vertical="center"/>
    </xf>
    <xf numFmtId="0" fontId="9" fillId="0" borderId="0" xfId="0" applyFont="1" applyAlignment="1">
      <alignment vertical="center" wrapText="1"/>
    </xf>
    <xf numFmtId="0" fontId="31" fillId="0" borderId="30" xfId="0" applyFont="1" applyBorder="1" applyAlignment="1" applyProtection="1">
      <alignment horizontal="center" vertical="center"/>
      <protection hidden="1"/>
    </xf>
    <xf numFmtId="164" fontId="8" fillId="0" borderId="0" xfId="0" applyNumberFormat="1" applyFont="1" applyAlignment="1">
      <alignment vertical="center"/>
    </xf>
    <xf numFmtId="49" fontId="18" fillId="0" borderId="43" xfId="0" applyNumberFormat="1" applyFont="1" applyBorder="1" applyAlignment="1">
      <alignment horizontal="center" vertical="center"/>
    </xf>
    <xf numFmtId="164" fontId="8" fillId="0" borderId="42" xfId="0" applyNumberFormat="1" applyFont="1" applyBorder="1" applyAlignment="1">
      <alignment horizontal="center" vertical="center"/>
    </xf>
    <xf numFmtId="0" fontId="25" fillId="0" borderId="33" xfId="0" applyFont="1" applyBorder="1" applyAlignment="1">
      <alignment horizontal="center" vertical="center"/>
    </xf>
    <xf numFmtId="0" fontId="31" fillId="0" borderId="51" xfId="0" applyFont="1" applyBorder="1"/>
    <xf numFmtId="0" fontId="39" fillId="0" borderId="55" xfId="0" applyFont="1" applyBorder="1"/>
    <xf numFmtId="0" fontId="65" fillId="0" borderId="0" xfId="0" applyFont="1" applyAlignment="1">
      <alignment vertical="center"/>
    </xf>
    <xf numFmtId="0" fontId="66" fillId="0" borderId="0" xfId="0" applyFont="1" applyAlignment="1">
      <alignment vertical="center"/>
    </xf>
    <xf numFmtId="0" fontId="67" fillId="0" borderId="0" xfId="0" applyFont="1" applyAlignment="1">
      <alignment vertical="center"/>
    </xf>
    <xf numFmtId="0" fontId="67" fillId="0" borderId="0" xfId="0" applyFont="1" applyAlignment="1" applyProtection="1">
      <alignment vertical="center"/>
      <protection hidden="1"/>
    </xf>
    <xf numFmtId="0" fontId="67" fillId="0" borderId="42" xfId="0" applyFont="1" applyBorder="1" applyAlignment="1">
      <alignment vertical="center"/>
    </xf>
    <xf numFmtId="0" fontId="68" fillId="0" borderId="42" xfId="0" applyFont="1" applyBorder="1" applyAlignment="1">
      <alignment vertical="center"/>
    </xf>
    <xf numFmtId="0" fontId="68" fillId="0" borderId="28" xfId="0" applyFont="1" applyBorder="1" applyAlignment="1">
      <alignment vertical="center"/>
    </xf>
    <xf numFmtId="0" fontId="7" fillId="7" borderId="51" xfId="0" applyFont="1" applyFill="1" applyBorder="1" applyAlignment="1" applyProtection="1">
      <alignment horizontal="center" vertical="center"/>
      <protection locked="0"/>
    </xf>
    <xf numFmtId="49" fontId="2" fillId="0" borderId="51" xfId="0" applyNumberFormat="1" applyFont="1" applyBorder="1" applyAlignment="1">
      <alignment horizontal="center"/>
    </xf>
    <xf numFmtId="0" fontId="2" fillId="0" borderId="51" xfId="3" applyNumberFormat="1" applyFont="1" applyBorder="1" applyProtection="1"/>
    <xf numFmtId="171" fontId="2" fillId="0" borderId="51" xfId="3" applyNumberFormat="1" applyFont="1" applyBorder="1" applyProtection="1"/>
    <xf numFmtId="0" fontId="29" fillId="7" borderId="37" xfId="0" applyFont="1" applyFill="1" applyBorder="1" applyAlignment="1" applyProtection="1">
      <alignment horizontal="center"/>
      <protection locked="0"/>
    </xf>
    <xf numFmtId="0" fontId="29" fillId="7" borderId="42" xfId="0" applyFont="1" applyFill="1" applyBorder="1" applyAlignment="1" applyProtection="1">
      <alignment horizontal="center"/>
      <protection locked="0"/>
    </xf>
    <xf numFmtId="0" fontId="29" fillId="7" borderId="36" xfId="0" applyFont="1" applyFill="1" applyBorder="1" applyAlignment="1" applyProtection="1">
      <alignment horizontal="center"/>
      <protection locked="0"/>
    </xf>
    <xf numFmtId="0" fontId="29" fillId="7" borderId="0" xfId="0" applyFont="1" applyFill="1" applyAlignment="1" applyProtection="1">
      <alignment horizontal="center"/>
      <protection locked="0"/>
    </xf>
    <xf numFmtId="0" fontId="29" fillId="7" borderId="39" xfId="0" applyFont="1" applyFill="1" applyBorder="1" applyAlignment="1" applyProtection="1">
      <alignment horizontal="center"/>
      <protection locked="0"/>
    </xf>
    <xf numFmtId="0" fontId="29" fillId="7" borderId="28" xfId="0" applyFont="1" applyFill="1" applyBorder="1" applyAlignment="1" applyProtection="1">
      <alignment horizontal="center"/>
      <protection locked="0"/>
    </xf>
    <xf numFmtId="168" fontId="2" fillId="0" borderId="51" xfId="0" applyNumberFormat="1" applyFont="1" applyBorder="1"/>
    <xf numFmtId="0" fontId="2" fillId="0" borderId="58" xfId="0" applyFont="1" applyBorder="1"/>
    <xf numFmtId="0" fontId="2" fillId="0" borderId="59" xfId="0" applyFont="1" applyBorder="1"/>
    <xf numFmtId="168" fontId="2" fillId="0" borderId="58" xfId="0" applyNumberFormat="1" applyFont="1" applyBorder="1"/>
    <xf numFmtId="168" fontId="2" fillId="0" borderId="59" xfId="0" applyNumberFormat="1" applyFont="1" applyBorder="1"/>
    <xf numFmtId="168" fontId="2" fillId="0" borderId="60" xfId="0" applyNumberFormat="1" applyFont="1" applyBorder="1"/>
    <xf numFmtId="168" fontId="2" fillId="0" borderId="55" xfId="0" applyNumberFormat="1" applyFont="1" applyBorder="1"/>
    <xf numFmtId="2" fontId="2" fillId="0" borderId="61" xfId="0" applyNumberFormat="1" applyFont="1" applyBorder="1"/>
    <xf numFmtId="164" fontId="31" fillId="0" borderId="0" xfId="0" applyNumberFormat="1" applyFont="1" applyAlignment="1" applyProtection="1">
      <alignment horizontal="center"/>
      <protection locked="0"/>
    </xf>
    <xf numFmtId="1" fontId="31" fillId="0" borderId="0" xfId="0" applyNumberFormat="1" applyFont="1" applyAlignment="1" applyProtection="1">
      <alignment horizontal="center"/>
      <protection locked="0"/>
    </xf>
    <xf numFmtId="0" fontId="20" fillId="7" borderId="51" xfId="0" applyFont="1" applyFill="1" applyBorder="1" applyAlignment="1">
      <alignment horizontal="center"/>
    </xf>
    <xf numFmtId="0" fontId="22" fillId="0" borderId="17" xfId="0" applyFont="1" applyBorder="1" applyAlignment="1">
      <alignment horizontal="left"/>
    </xf>
    <xf numFmtId="0" fontId="79" fillId="0" borderId="0" xfId="0" applyFont="1" applyAlignment="1">
      <alignment horizontal="left" vertical="center"/>
    </xf>
    <xf numFmtId="0" fontId="80" fillId="0" borderId="0" xfId="0" applyFont="1" applyAlignment="1">
      <alignment horizontal="left" vertical="center"/>
    </xf>
    <xf numFmtId="0" fontId="79" fillId="0" borderId="0" xfId="0" quotePrefix="1" applyFont="1" applyAlignment="1">
      <alignment horizontal="left" vertical="center" wrapText="1"/>
    </xf>
    <xf numFmtId="0" fontId="79" fillId="0" borderId="0" xfId="0" applyFont="1" applyAlignment="1">
      <alignment horizontal="left" vertical="center" wrapText="1"/>
    </xf>
    <xf numFmtId="0" fontId="79" fillId="0" borderId="0" xfId="0" applyFont="1"/>
    <xf numFmtId="0" fontId="81" fillId="0" borderId="0" xfId="0" applyFont="1" applyAlignment="1">
      <alignment horizontal="left" vertical="center"/>
    </xf>
    <xf numFmtId="0" fontId="79" fillId="0" borderId="0" xfId="0" applyFont="1" applyAlignment="1">
      <alignment vertical="center" wrapText="1"/>
    </xf>
    <xf numFmtId="0" fontId="79" fillId="0" borderId="0" xfId="0" applyFont="1" applyAlignment="1">
      <alignment vertical="center"/>
    </xf>
    <xf numFmtId="0" fontId="13" fillId="0" borderId="0" xfId="0" applyFont="1" applyAlignment="1">
      <alignment horizontal="left" vertical="center" wrapText="1"/>
    </xf>
    <xf numFmtId="49" fontId="79" fillId="0" borderId="0" xfId="0" applyNumberFormat="1" applyFont="1" applyAlignment="1">
      <alignment horizontal="left" vertical="center"/>
    </xf>
    <xf numFmtId="49" fontId="79" fillId="0" borderId="0" xfId="0" applyNumberFormat="1" applyFont="1" applyAlignment="1">
      <alignment vertical="center"/>
    </xf>
    <xf numFmtId="49" fontId="83" fillId="0" borderId="0" xfId="0" applyNumberFormat="1" applyFont="1" applyAlignment="1">
      <alignment horizontal="left" vertical="center"/>
    </xf>
    <xf numFmtId="0" fontId="86" fillId="0" borderId="24" xfId="0" applyFont="1" applyBorder="1" applyAlignment="1">
      <alignment horizontal="left"/>
    </xf>
    <xf numFmtId="167" fontId="87" fillId="3" borderId="39" xfId="0" applyNumberFormat="1" applyFont="1" applyFill="1" applyBorder="1" applyAlignment="1">
      <alignment horizontal="center"/>
    </xf>
    <xf numFmtId="0" fontId="88" fillId="0" borderId="0" xfId="0" applyFont="1" applyAlignment="1">
      <alignment horizontal="center" vertical="center"/>
    </xf>
    <xf numFmtId="49" fontId="91" fillId="0" borderId="0" xfId="0" applyNumberFormat="1" applyFont="1" applyAlignment="1">
      <alignment horizontal="left" vertical="center"/>
    </xf>
    <xf numFmtId="49" fontId="6" fillId="0" borderId="0" xfId="0" applyNumberFormat="1" applyFont="1" applyAlignment="1">
      <alignment vertical="center"/>
    </xf>
    <xf numFmtId="49" fontId="13" fillId="0" borderId="0" xfId="0" applyNumberFormat="1" applyFont="1" applyAlignment="1">
      <alignment horizontal="left" vertical="center"/>
    </xf>
    <xf numFmtId="0" fontId="79" fillId="0" borderId="0" xfId="0" applyFont="1" applyAlignment="1">
      <alignment horizontal="center" vertical="center"/>
    </xf>
    <xf numFmtId="49" fontId="21" fillId="2" borderId="30" xfId="0" applyNumberFormat="1" applyFont="1" applyFill="1" applyBorder="1" applyAlignment="1">
      <alignment horizontal="left" vertical="center"/>
    </xf>
    <xf numFmtId="49" fontId="21" fillId="2" borderId="32" xfId="0" applyNumberFormat="1" applyFont="1" applyFill="1" applyBorder="1" applyAlignment="1">
      <alignment horizontal="left" vertical="center"/>
    </xf>
    <xf numFmtId="49" fontId="20" fillId="2" borderId="32" xfId="0" applyNumberFormat="1" applyFont="1" applyFill="1" applyBorder="1" applyAlignment="1">
      <alignment horizontal="right" vertical="center"/>
    </xf>
    <xf numFmtId="49" fontId="20" fillId="2" borderId="31" xfId="0" applyNumberFormat="1" applyFont="1" applyFill="1" applyBorder="1" applyAlignment="1">
      <alignment horizontal="right" vertical="center"/>
    </xf>
    <xf numFmtId="0" fontId="22" fillId="0" borderId="42" xfId="0" applyFont="1" applyBorder="1" applyAlignment="1">
      <alignment horizontal="left" vertical="center"/>
    </xf>
    <xf numFmtId="49" fontId="8" fillId="2" borderId="30" xfId="0" applyNumberFormat="1" applyFont="1" applyFill="1" applyBorder="1" applyAlignment="1">
      <alignment horizontal="left" vertical="center"/>
    </xf>
    <xf numFmtId="49" fontId="8" fillId="2" borderId="32" xfId="0" applyNumberFormat="1" applyFont="1" applyFill="1" applyBorder="1" applyAlignment="1">
      <alignment horizontal="left" vertical="center"/>
    </xf>
    <xf numFmtId="49" fontId="8" fillId="2" borderId="31" xfId="0" applyNumberFormat="1" applyFont="1" applyFill="1" applyBorder="1" applyAlignment="1">
      <alignment horizontal="left" vertical="center"/>
    </xf>
    <xf numFmtId="49" fontId="8" fillId="6" borderId="30" xfId="0" applyNumberFormat="1" applyFont="1" applyFill="1" applyBorder="1" applyAlignment="1">
      <alignment horizontal="left" vertical="center"/>
    </xf>
    <xf numFmtId="49" fontId="8" fillId="6" borderId="32" xfId="0" applyNumberFormat="1" applyFont="1" applyFill="1" applyBorder="1" applyAlignment="1">
      <alignment horizontal="left" vertical="center"/>
    </xf>
    <xf numFmtId="49" fontId="8" fillId="6" borderId="31" xfId="0" applyNumberFormat="1" applyFont="1" applyFill="1" applyBorder="1" applyAlignment="1">
      <alignment horizontal="left" vertical="center"/>
    </xf>
    <xf numFmtId="49" fontId="7" fillId="6" borderId="30" xfId="0" applyNumberFormat="1" applyFont="1" applyFill="1" applyBorder="1" applyAlignment="1">
      <alignment horizontal="left" vertical="center"/>
    </xf>
    <xf numFmtId="49" fontId="7" fillId="6" borderId="32" xfId="0" applyNumberFormat="1" applyFont="1" applyFill="1" applyBorder="1" applyAlignment="1">
      <alignment horizontal="left" vertical="center"/>
    </xf>
    <xf numFmtId="49" fontId="7" fillId="6" borderId="31" xfId="0" applyNumberFormat="1" applyFont="1" applyFill="1" applyBorder="1" applyAlignment="1">
      <alignment horizontal="left" vertical="center"/>
    </xf>
    <xf numFmtId="0" fontId="8" fillId="6" borderId="30" xfId="0" applyFont="1" applyFill="1" applyBorder="1" applyAlignment="1">
      <alignment horizontal="left" vertical="center"/>
    </xf>
    <xf numFmtId="0" fontId="8" fillId="6" borderId="32" xfId="0" applyFont="1" applyFill="1" applyBorder="1" applyAlignment="1">
      <alignment horizontal="left" vertical="center"/>
    </xf>
    <xf numFmtId="0" fontId="8" fillId="6" borderId="31" xfId="0" applyFont="1" applyFill="1" applyBorder="1" applyAlignment="1">
      <alignment horizontal="left" vertical="center"/>
    </xf>
    <xf numFmtId="0" fontId="7" fillId="6" borderId="30" xfId="0" applyFont="1" applyFill="1" applyBorder="1" applyAlignment="1">
      <alignment horizontal="left" vertical="center"/>
    </xf>
    <xf numFmtId="0" fontId="7" fillId="6" borderId="32" xfId="0" applyFont="1" applyFill="1" applyBorder="1" applyAlignment="1">
      <alignment horizontal="left" vertical="center"/>
    </xf>
    <xf numFmtId="0" fontId="7" fillId="6" borderId="31" xfId="0" applyFont="1" applyFill="1" applyBorder="1" applyAlignment="1">
      <alignment horizontal="left" vertical="center"/>
    </xf>
    <xf numFmtId="0" fontId="21" fillId="2" borderId="30" xfId="0" applyFont="1" applyFill="1" applyBorder="1" applyAlignment="1">
      <alignment horizontal="left" vertical="center"/>
    </xf>
    <xf numFmtId="0" fontId="21" fillId="2" borderId="32" xfId="0" applyFont="1" applyFill="1" applyBorder="1" applyAlignment="1">
      <alignment horizontal="left" vertical="center"/>
    </xf>
    <xf numFmtId="0" fontId="20" fillId="2" borderId="32" xfId="0" applyFont="1" applyFill="1" applyBorder="1" applyAlignment="1">
      <alignment horizontal="right" vertical="center"/>
    </xf>
    <xf numFmtId="0" fontId="20" fillId="2" borderId="31" xfId="0" applyFont="1" applyFill="1" applyBorder="1" applyAlignment="1">
      <alignment horizontal="right" vertical="center"/>
    </xf>
    <xf numFmtId="0" fontId="22" fillId="0" borderId="0" xfId="0" applyFont="1" applyAlignment="1">
      <alignment horizontal="left" vertical="center"/>
    </xf>
    <xf numFmtId="0" fontId="24" fillId="2" borderId="30" xfId="0" applyFont="1" applyFill="1" applyBorder="1" applyAlignment="1">
      <alignment horizontal="left" vertical="center"/>
    </xf>
    <xf numFmtId="0" fontId="24" fillId="2" borderId="32" xfId="0" applyFont="1" applyFill="1" applyBorder="1" applyAlignment="1">
      <alignment horizontal="left" vertical="center"/>
    </xf>
    <xf numFmtId="0" fontId="24" fillId="2" borderId="31" xfId="0" applyFont="1" applyFill="1" applyBorder="1" applyAlignment="1">
      <alignment horizontal="left" vertical="center"/>
    </xf>
    <xf numFmtId="0" fontId="21" fillId="2" borderId="31" xfId="0" applyFont="1" applyFill="1" applyBorder="1" applyAlignment="1">
      <alignment horizontal="left" vertical="center"/>
    </xf>
    <xf numFmtId="164" fontId="8" fillId="7" borderId="34" xfId="0" applyNumberFormat="1" applyFont="1" applyFill="1" applyBorder="1" applyAlignment="1">
      <alignment horizontal="center" vertical="center"/>
    </xf>
    <xf numFmtId="164" fontId="8" fillId="7" borderId="42" xfId="0" applyNumberFormat="1" applyFont="1" applyFill="1" applyBorder="1" applyAlignment="1">
      <alignment horizontal="center" vertical="center"/>
    </xf>
    <xf numFmtId="164" fontId="8" fillId="7" borderId="35" xfId="0" applyNumberFormat="1" applyFont="1" applyFill="1" applyBorder="1" applyAlignment="1">
      <alignment horizontal="center" vertical="center"/>
    </xf>
    <xf numFmtId="0" fontId="8" fillId="2" borderId="30" xfId="0" applyFont="1" applyFill="1" applyBorder="1" applyAlignment="1">
      <alignment horizontal="left" vertical="center"/>
    </xf>
    <xf numFmtId="0" fontId="8" fillId="2" borderId="32" xfId="0" applyFont="1" applyFill="1" applyBorder="1" applyAlignment="1">
      <alignment horizontal="left" vertical="center"/>
    </xf>
    <xf numFmtId="0" fontId="8" fillId="2" borderId="31" xfId="0" applyFont="1" applyFill="1" applyBorder="1" applyAlignment="1">
      <alignment horizontal="left" vertical="center"/>
    </xf>
    <xf numFmtId="0" fontId="9" fillId="0" borderId="0" xfId="0" applyFont="1" applyAlignment="1">
      <alignment horizontal="left" vertical="center" wrapText="1"/>
    </xf>
    <xf numFmtId="0" fontId="9" fillId="0" borderId="20" xfId="0" applyFont="1" applyBorder="1" applyAlignment="1">
      <alignment horizontal="left" vertical="center" wrapText="1"/>
    </xf>
    <xf numFmtId="0" fontId="9" fillId="0" borderId="9" xfId="0" applyFont="1" applyBorder="1" applyAlignment="1">
      <alignment horizontal="left" vertical="center" wrapText="1"/>
    </xf>
    <xf numFmtId="0" fontId="9" fillId="0" borderId="15" xfId="0" applyFont="1" applyBorder="1" applyAlignment="1">
      <alignment horizontal="left" vertical="center" wrapText="1"/>
    </xf>
    <xf numFmtId="0" fontId="9" fillId="0" borderId="2" xfId="0" applyFont="1" applyBorder="1" applyAlignment="1">
      <alignment horizontal="left" vertical="center"/>
    </xf>
    <xf numFmtId="0" fontId="9" fillId="0" borderId="18" xfId="0" applyFont="1" applyBorder="1" applyAlignment="1">
      <alignment horizontal="left" vertical="center"/>
    </xf>
    <xf numFmtId="0" fontId="9" fillId="0" borderId="9" xfId="0" applyFont="1" applyBorder="1" applyAlignment="1">
      <alignment horizontal="left" vertical="center"/>
    </xf>
    <xf numFmtId="0" fontId="9" fillId="0" borderId="15" xfId="0" applyFont="1" applyBorder="1" applyAlignment="1">
      <alignment horizontal="left" vertical="center"/>
    </xf>
    <xf numFmtId="0" fontId="9" fillId="0" borderId="44" xfId="0" applyFont="1" applyBorder="1" applyAlignment="1">
      <alignment horizontal="left" vertical="center"/>
    </xf>
    <xf numFmtId="0" fontId="9" fillId="0" borderId="45" xfId="0" applyFont="1" applyBorder="1" applyAlignment="1">
      <alignment horizontal="left" vertical="center"/>
    </xf>
    <xf numFmtId="164" fontId="8" fillId="0" borderId="30" xfId="0" applyNumberFormat="1" applyFont="1" applyBorder="1" applyAlignment="1">
      <alignment horizontal="center" vertical="center"/>
    </xf>
    <xf numFmtId="164" fontId="8" fillId="0" borderId="32" xfId="0" applyNumberFormat="1" applyFont="1" applyBorder="1" applyAlignment="1">
      <alignment horizontal="center" vertical="center"/>
    </xf>
    <xf numFmtId="164" fontId="8" fillId="0" borderId="31" xfId="0" applyNumberFormat="1" applyFont="1" applyBorder="1" applyAlignment="1">
      <alignment horizontal="center" vertical="center"/>
    </xf>
    <xf numFmtId="164" fontId="8" fillId="7" borderId="30" xfId="0" applyNumberFormat="1" applyFont="1" applyFill="1" applyBorder="1" applyAlignment="1">
      <alignment horizontal="center" vertical="center"/>
    </xf>
    <xf numFmtId="164" fontId="8" fillId="7" borderId="32" xfId="0" applyNumberFormat="1" applyFont="1" applyFill="1" applyBorder="1" applyAlignment="1">
      <alignment horizontal="center" vertical="center"/>
    </xf>
    <xf numFmtId="164" fontId="8" fillId="7" borderId="31" xfId="0" applyNumberFormat="1" applyFont="1" applyFill="1" applyBorder="1" applyAlignment="1">
      <alignment horizontal="center" vertical="center"/>
    </xf>
    <xf numFmtId="164" fontId="20" fillId="0" borderId="38" xfId="0" applyNumberFormat="1" applyFont="1" applyBorder="1" applyAlignment="1">
      <alignment horizontal="center" vertical="center"/>
    </xf>
    <xf numFmtId="164" fontId="20" fillId="0" borderId="29" xfId="0" applyNumberFormat="1" applyFont="1" applyBorder="1" applyAlignment="1">
      <alignment horizontal="center" vertical="center"/>
    </xf>
    <xf numFmtId="0" fontId="8" fillId="2" borderId="30" xfId="0" applyFont="1" applyFill="1" applyBorder="1" applyAlignment="1">
      <alignment horizontal="center" vertical="center"/>
    </xf>
    <xf numFmtId="0" fontId="8" fillId="2" borderId="32" xfId="0" applyFont="1" applyFill="1" applyBorder="1" applyAlignment="1">
      <alignment horizontal="center" vertical="center"/>
    </xf>
    <xf numFmtId="0" fontId="8" fillId="2" borderId="42" xfId="0" applyFont="1" applyFill="1" applyBorder="1" applyAlignment="1">
      <alignment horizontal="center" vertical="center"/>
    </xf>
    <xf numFmtId="0" fontId="8" fillId="2" borderId="31" xfId="0" applyFont="1" applyFill="1" applyBorder="1" applyAlignment="1">
      <alignment horizontal="center" vertical="center"/>
    </xf>
    <xf numFmtId="0" fontId="8" fillId="0" borderId="37" xfId="0" applyFont="1" applyBorder="1" applyAlignment="1">
      <alignment horizontal="center" vertical="center" wrapText="1"/>
    </xf>
    <xf numFmtId="0" fontId="8" fillId="0" borderId="39"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38" xfId="0" applyFont="1" applyBorder="1" applyAlignment="1">
      <alignment horizontal="center" vertical="center" wrapText="1"/>
    </xf>
    <xf numFmtId="0" fontId="0" fillId="0" borderId="30" xfId="0" applyBorder="1" applyAlignment="1">
      <alignment horizontal="center"/>
    </xf>
    <xf numFmtId="0" fontId="0" fillId="0" borderId="31" xfId="0" applyBorder="1" applyAlignment="1">
      <alignment horizontal="center"/>
    </xf>
    <xf numFmtId="0" fontId="85" fillId="0" borderId="28" xfId="0" applyFont="1" applyBorder="1" applyAlignment="1">
      <alignment horizontal="right" vertical="center"/>
    </xf>
    <xf numFmtId="0" fontId="85" fillId="0" borderId="29" xfId="0" applyFont="1" applyBorder="1" applyAlignment="1">
      <alignment horizontal="right" vertical="center"/>
    </xf>
    <xf numFmtId="0" fontId="0" fillId="7" borderId="34" xfId="0" applyFill="1" applyBorder="1" applyAlignment="1" applyProtection="1">
      <alignment horizontal="left" vertical="top" wrapText="1"/>
      <protection locked="0"/>
    </xf>
    <xf numFmtId="0" fontId="0" fillId="7" borderId="42" xfId="0" applyFill="1" applyBorder="1" applyAlignment="1" applyProtection="1">
      <alignment horizontal="left" vertical="top" wrapText="1"/>
      <protection locked="0"/>
    </xf>
    <xf numFmtId="0" fontId="0" fillId="7" borderId="35" xfId="0" applyFill="1" applyBorder="1" applyAlignment="1" applyProtection="1">
      <alignment horizontal="left" vertical="top" wrapText="1"/>
      <protection locked="0"/>
    </xf>
    <xf numFmtId="0" fontId="0" fillId="7" borderId="24" xfId="0" applyFill="1" applyBorder="1" applyAlignment="1" applyProtection="1">
      <alignment horizontal="left" vertical="top" wrapText="1"/>
      <protection locked="0"/>
    </xf>
    <xf numFmtId="0" fontId="0" fillId="7" borderId="0" xfId="0" applyFill="1" applyAlignment="1" applyProtection="1">
      <alignment horizontal="left" vertical="top" wrapText="1"/>
      <protection locked="0"/>
    </xf>
    <xf numFmtId="0" fontId="0" fillId="7" borderId="20" xfId="0" applyFill="1" applyBorder="1" applyAlignment="1" applyProtection="1">
      <alignment horizontal="left" vertical="top" wrapText="1"/>
      <protection locked="0"/>
    </xf>
    <xf numFmtId="0" fontId="0" fillId="7" borderId="38" xfId="0" applyFill="1" applyBorder="1" applyAlignment="1" applyProtection="1">
      <alignment horizontal="left" vertical="top" wrapText="1"/>
      <protection locked="0"/>
    </xf>
    <xf numFmtId="0" fontId="0" fillId="7" borderId="28" xfId="0" applyFill="1" applyBorder="1" applyAlignment="1" applyProtection="1">
      <alignment horizontal="left" vertical="top" wrapText="1"/>
      <protection locked="0"/>
    </xf>
    <xf numFmtId="0" fontId="0" fillId="7" borderId="29" xfId="0" applyFill="1" applyBorder="1" applyAlignment="1" applyProtection="1">
      <alignment horizontal="left" vertical="top" wrapText="1"/>
      <protection locked="0"/>
    </xf>
    <xf numFmtId="0" fontId="21" fillId="7" borderId="52" xfId="0" applyFont="1" applyFill="1" applyBorder="1" applyAlignment="1" applyProtection="1">
      <alignment horizontal="left" vertical="center"/>
      <protection locked="0"/>
    </xf>
    <xf numFmtId="0" fontId="21" fillId="7" borderId="9" xfId="0" applyFont="1" applyFill="1" applyBorder="1" applyAlignment="1" applyProtection="1">
      <alignment horizontal="left" vertical="center"/>
      <protection locked="0"/>
    </xf>
    <xf numFmtId="0" fontId="21" fillId="7" borderId="15" xfId="0" applyFont="1" applyFill="1" applyBorder="1" applyAlignment="1" applyProtection="1">
      <alignment horizontal="left" vertical="center"/>
      <protection locked="0"/>
    </xf>
    <xf numFmtId="0" fontId="7" fillId="2" borderId="30" xfId="0" applyFont="1" applyFill="1" applyBorder="1" applyAlignment="1">
      <alignment horizontal="center"/>
    </xf>
    <xf numFmtId="0" fontId="7" fillId="2" borderId="32" xfId="0" applyFont="1" applyFill="1" applyBorder="1" applyAlignment="1">
      <alignment horizontal="center"/>
    </xf>
    <xf numFmtId="0" fontId="7" fillId="2" borderId="31" xfId="0" applyFont="1" applyFill="1" applyBorder="1" applyAlignment="1">
      <alignment horizontal="center"/>
    </xf>
    <xf numFmtId="0" fontId="22" fillId="0" borderId="1" xfId="0" applyFont="1" applyBorder="1" applyAlignment="1">
      <alignment horizontal="left"/>
    </xf>
    <xf numFmtId="0" fontId="22" fillId="0" borderId="2" xfId="0" applyFont="1" applyBorder="1" applyAlignment="1">
      <alignment horizontal="left"/>
    </xf>
    <xf numFmtId="0" fontId="21" fillId="7" borderId="38" xfId="0" applyFont="1" applyFill="1" applyBorder="1" applyAlignment="1" applyProtection="1">
      <alignment horizontal="left"/>
      <protection locked="0"/>
    </xf>
    <xf numFmtId="0" fontId="21" fillId="7" borderId="28" xfId="0" applyFont="1" applyFill="1" applyBorder="1" applyAlignment="1" applyProtection="1">
      <alignment horizontal="left"/>
      <protection locked="0"/>
    </xf>
    <xf numFmtId="0" fontId="22" fillId="0" borderId="65" xfId="0" applyFont="1" applyBorder="1" applyAlignment="1">
      <alignment horizontal="left"/>
    </xf>
    <xf numFmtId="0" fontId="21" fillId="7" borderId="27" xfId="0" applyFont="1" applyFill="1" applyBorder="1" applyAlignment="1" applyProtection="1">
      <alignment horizontal="left"/>
      <protection locked="0"/>
    </xf>
    <xf numFmtId="0" fontId="24" fillId="2" borderId="14" xfId="0" applyFont="1" applyFill="1" applyBorder="1" applyAlignment="1">
      <alignment horizontal="left"/>
    </xf>
    <xf numFmtId="0" fontId="24" fillId="2" borderId="9" xfId="0" applyFont="1" applyFill="1" applyBorder="1" applyAlignment="1">
      <alignment horizontal="left"/>
    </xf>
    <xf numFmtId="0" fontId="24" fillId="2" borderId="15" xfId="0" applyFont="1" applyFill="1" applyBorder="1" applyAlignment="1">
      <alignment horizontal="left"/>
    </xf>
    <xf numFmtId="0" fontId="20" fillId="0" borderId="34" xfId="0" applyFont="1" applyBorder="1" applyAlignment="1">
      <alignment horizontal="center" vertical="center"/>
    </xf>
    <xf numFmtId="0" fontId="20" fillId="0" borderId="38" xfId="0" applyFont="1" applyBorder="1" applyAlignment="1">
      <alignment horizontal="center" vertical="center"/>
    </xf>
    <xf numFmtId="0" fontId="20" fillId="0" borderId="35" xfId="0" applyFont="1" applyBorder="1" applyAlignment="1">
      <alignment horizontal="center" vertical="center" wrapText="1"/>
    </xf>
    <xf numFmtId="0" fontId="20" fillId="0" borderId="29" xfId="0" applyFont="1" applyBorder="1" applyAlignment="1">
      <alignment horizontal="center" vertical="center" wrapText="1"/>
    </xf>
    <xf numFmtId="0" fontId="25" fillId="0" borderId="37" xfId="0" applyFont="1" applyBorder="1" applyAlignment="1">
      <alignment horizontal="center" vertical="center" wrapText="1"/>
    </xf>
    <xf numFmtId="0" fontId="25" fillId="0" borderId="39" xfId="0" applyFont="1" applyBorder="1" applyAlignment="1">
      <alignment horizontal="center" vertical="center" wrapText="1"/>
    </xf>
    <xf numFmtId="0" fontId="22" fillId="0" borderId="18" xfId="0" applyFont="1" applyBorder="1" applyAlignment="1">
      <alignment horizontal="center" vertical="top"/>
    </xf>
    <xf numFmtId="0" fontId="22" fillId="0" borderId="20" xfId="0" applyFont="1" applyBorder="1" applyAlignment="1">
      <alignment horizontal="center" vertical="top"/>
    </xf>
    <xf numFmtId="0" fontId="73" fillId="0" borderId="0" xfId="0" applyFont="1" applyAlignment="1">
      <alignment horizontal="right"/>
    </xf>
    <xf numFmtId="0" fontId="26" fillId="0" borderId="2" xfId="0" applyFont="1" applyBorder="1" applyAlignment="1">
      <alignment horizontal="left" vertical="center" wrapText="1"/>
    </xf>
    <xf numFmtId="0" fontId="26" fillId="0" borderId="0" xfId="0" applyFont="1" applyAlignment="1">
      <alignment horizontal="left" vertical="center" wrapText="1"/>
    </xf>
    <xf numFmtId="0" fontId="22" fillId="0" borderId="0" xfId="0" applyFont="1" applyAlignment="1">
      <alignment horizontal="center"/>
    </xf>
    <xf numFmtId="0" fontId="22" fillId="0" borderId="7" xfId="0" applyFont="1" applyBorder="1" applyAlignment="1">
      <alignment horizontal="center"/>
    </xf>
    <xf numFmtId="0" fontId="18" fillId="0" borderId="40" xfId="0" applyFont="1" applyBorder="1" applyAlignment="1">
      <alignment horizontal="center" vertical="center"/>
    </xf>
    <xf numFmtId="0" fontId="18" fillId="0" borderId="43" xfId="0" applyFont="1" applyBorder="1" applyAlignment="1">
      <alignment horizontal="center" vertical="center"/>
    </xf>
    <xf numFmtId="167" fontId="18" fillId="0" borderId="57" xfId="0" applyNumberFormat="1" applyFont="1" applyBorder="1" applyAlignment="1">
      <alignment horizontal="center" vertical="center"/>
    </xf>
    <xf numFmtId="167" fontId="18" fillId="0" borderId="13" xfId="0" applyNumberFormat="1" applyFont="1" applyBorder="1" applyAlignment="1">
      <alignment horizontal="center" vertical="center"/>
    </xf>
    <xf numFmtId="0" fontId="21" fillId="0" borderId="53" xfId="0" applyFont="1" applyBorder="1" applyAlignment="1">
      <alignment horizontal="center" vertical="center"/>
    </xf>
    <xf numFmtId="0" fontId="21" fillId="0" borderId="45" xfId="0" applyFont="1" applyBorder="1" applyAlignment="1">
      <alignment horizontal="center" vertical="center"/>
    </xf>
    <xf numFmtId="0" fontId="18" fillId="0" borderId="69" xfId="0" applyFont="1" applyBorder="1" applyAlignment="1">
      <alignment horizontal="center" vertical="center"/>
    </xf>
    <xf numFmtId="0" fontId="18" fillId="0" borderId="71" xfId="0" applyFont="1" applyBorder="1" applyAlignment="1">
      <alignment horizontal="center" vertical="center"/>
    </xf>
    <xf numFmtId="167" fontId="18" fillId="0" borderId="10" xfId="0" applyNumberFormat="1" applyFont="1" applyBorder="1" applyAlignment="1">
      <alignment horizontal="center" vertical="center"/>
    </xf>
    <xf numFmtId="167" fontId="18" fillId="0" borderId="41" xfId="0" applyNumberFormat="1" applyFont="1" applyBorder="1" applyAlignment="1">
      <alignment horizontal="center" vertical="center"/>
    </xf>
    <xf numFmtId="167" fontId="18" fillId="0" borderId="53" xfId="0" applyNumberFormat="1" applyFont="1" applyBorder="1" applyAlignment="1">
      <alignment horizontal="center" vertical="center"/>
    </xf>
    <xf numFmtId="167" fontId="18" fillId="0" borderId="45" xfId="0" applyNumberFormat="1" applyFont="1" applyBorder="1" applyAlignment="1">
      <alignment horizontal="center" vertical="center"/>
    </xf>
    <xf numFmtId="0" fontId="18" fillId="0" borderId="37" xfId="0" applyFont="1" applyBorder="1" applyAlignment="1">
      <alignment horizontal="center" vertical="center" wrapText="1"/>
    </xf>
    <xf numFmtId="0" fontId="18" fillId="0" borderId="39" xfId="0" applyFont="1" applyBorder="1" applyAlignment="1">
      <alignment horizontal="center" vertical="center" wrapText="1"/>
    </xf>
    <xf numFmtId="0" fontId="21" fillId="0" borderId="63" xfId="0" applyFont="1" applyBorder="1" applyAlignment="1">
      <alignment horizontal="left"/>
    </xf>
    <xf numFmtId="0" fontId="21" fillId="0" borderId="68" xfId="0" applyFont="1" applyBorder="1" applyAlignment="1">
      <alignment horizontal="left"/>
    </xf>
    <xf numFmtId="0" fontId="22" fillId="0" borderId="22" xfId="0" applyFont="1" applyBorder="1" applyAlignment="1">
      <alignment horizontal="left"/>
    </xf>
    <xf numFmtId="0" fontId="22" fillId="0" borderId="64" xfId="0" applyFont="1" applyBorder="1" applyAlignment="1">
      <alignment horizontal="left"/>
    </xf>
    <xf numFmtId="0" fontId="21" fillId="0" borderId="26" xfId="0" applyFont="1" applyBorder="1" applyAlignment="1">
      <alignment horizontal="left"/>
    </xf>
    <xf numFmtId="0" fontId="21" fillId="0" borderId="62" xfId="0" applyFont="1" applyBorder="1" applyAlignment="1">
      <alignment horizontal="left"/>
    </xf>
    <xf numFmtId="0" fontId="0" fillId="0" borderId="72" xfId="0" applyBorder="1" applyAlignment="1">
      <alignment horizontal="center" vertical="center" wrapText="1"/>
    </xf>
    <xf numFmtId="0" fontId="0" fillId="0" borderId="49" xfId="0" applyBorder="1" applyAlignment="1">
      <alignment horizontal="center" vertical="center" wrapText="1"/>
    </xf>
    <xf numFmtId="0" fontId="22" fillId="0" borderId="21" xfId="0" applyFont="1" applyBorder="1" applyAlignment="1">
      <alignment horizontal="left"/>
    </xf>
    <xf numFmtId="0" fontId="8" fillId="2" borderId="69" xfId="0" applyFont="1" applyFill="1" applyBorder="1" applyAlignment="1">
      <alignment horizontal="center" vertical="center"/>
    </xf>
    <xf numFmtId="0" fontId="8" fillId="2" borderId="70" xfId="0" applyFont="1" applyFill="1" applyBorder="1" applyAlignment="1">
      <alignment horizontal="center" vertical="center"/>
    </xf>
    <xf numFmtId="0" fontId="8" fillId="2" borderId="71" xfId="0" applyFont="1" applyFill="1" applyBorder="1" applyAlignment="1">
      <alignment horizontal="center" vertical="center"/>
    </xf>
    <xf numFmtId="0" fontId="0" fillId="0" borderId="75" xfId="0" applyBorder="1" applyAlignment="1">
      <alignment horizontal="center" vertical="center"/>
    </xf>
    <xf numFmtId="0" fontId="0" fillId="0" borderId="76" xfId="0" applyBorder="1" applyAlignment="1">
      <alignment horizontal="center" vertical="center"/>
    </xf>
    <xf numFmtId="0" fontId="26" fillId="0" borderId="8" xfId="0" applyFont="1" applyBorder="1" applyAlignment="1">
      <alignment horizontal="center" vertical="center"/>
    </xf>
    <xf numFmtId="0" fontId="26" fillId="0" borderId="6" xfId="0" applyFont="1" applyBorder="1" applyAlignment="1">
      <alignment horizontal="center" vertical="center"/>
    </xf>
    <xf numFmtId="0" fontId="26" fillId="0" borderId="50" xfId="0" applyFont="1" applyBorder="1" applyAlignment="1">
      <alignment horizontal="center" vertical="center"/>
    </xf>
    <xf numFmtId="0" fontId="26" fillId="0" borderId="52" xfId="0" applyFont="1" applyBorder="1" applyAlignment="1">
      <alignment horizontal="center" vertical="center"/>
    </xf>
    <xf numFmtId="0" fontId="21" fillId="0" borderId="6" xfId="0" applyFont="1" applyBorder="1" applyAlignment="1">
      <alignment horizontal="left"/>
    </xf>
    <xf numFmtId="0" fontId="21" fillId="0" borderId="8" xfId="0" applyFont="1" applyBorder="1" applyAlignment="1">
      <alignment horizontal="left"/>
    </xf>
    <xf numFmtId="0" fontId="21" fillId="0" borderId="23" xfId="0" applyFont="1" applyBorder="1" applyAlignment="1">
      <alignment horizontal="left"/>
    </xf>
    <xf numFmtId="0" fontId="22" fillId="0" borderId="4" xfId="0" applyFont="1" applyBorder="1" applyAlignment="1">
      <alignment horizontal="left"/>
    </xf>
    <xf numFmtId="0" fontId="22" fillId="0" borderId="0" xfId="0" applyFont="1" applyAlignment="1">
      <alignment horizontal="left"/>
    </xf>
    <xf numFmtId="0" fontId="22" fillId="0" borderId="5" xfId="0" applyFont="1" applyBorder="1" applyAlignment="1">
      <alignment horizontal="left"/>
    </xf>
    <xf numFmtId="0" fontId="21" fillId="7" borderId="19" xfId="0" applyFont="1" applyFill="1" applyBorder="1" applyAlignment="1" applyProtection="1">
      <alignment horizontal="left"/>
      <protection locked="0"/>
    </xf>
    <xf numFmtId="0" fontId="21" fillId="7" borderId="7" xfId="0" applyFont="1" applyFill="1" applyBorder="1" applyAlignment="1" applyProtection="1">
      <alignment horizontal="left"/>
      <protection locked="0"/>
    </xf>
    <xf numFmtId="14" fontId="21" fillId="7" borderId="4" xfId="0" applyNumberFormat="1" applyFont="1" applyFill="1" applyBorder="1" applyAlignment="1" applyProtection="1">
      <alignment horizontal="center" vertical="center"/>
      <protection locked="0"/>
    </xf>
    <xf numFmtId="14" fontId="21" fillId="7" borderId="20" xfId="0" applyNumberFormat="1" applyFont="1" applyFill="1" applyBorder="1" applyAlignment="1" applyProtection="1">
      <alignment horizontal="center" vertical="center"/>
      <protection locked="0"/>
    </xf>
    <xf numFmtId="0" fontId="7" fillId="2" borderId="34" xfId="0" applyFont="1" applyFill="1" applyBorder="1" applyAlignment="1">
      <alignment horizontal="center" vertical="center"/>
    </xf>
    <xf numFmtId="0" fontId="7" fillId="2" borderId="32" xfId="0" applyFont="1" applyFill="1" applyBorder="1" applyAlignment="1">
      <alignment horizontal="center" vertical="center"/>
    </xf>
    <xf numFmtId="0" fontId="7" fillId="2" borderId="31" xfId="0" applyFont="1" applyFill="1" applyBorder="1" applyAlignment="1">
      <alignment horizontal="center" vertical="center"/>
    </xf>
    <xf numFmtId="0" fontId="21" fillId="0" borderId="19" xfId="0" applyFont="1" applyBorder="1" applyAlignment="1">
      <alignment horizontal="left"/>
    </xf>
    <xf numFmtId="0" fontId="21" fillId="0" borderId="67" xfId="0" applyFont="1" applyBorder="1" applyAlignment="1">
      <alignment horizontal="left"/>
    </xf>
    <xf numFmtId="0" fontId="21" fillId="0" borderId="25" xfId="0" applyFont="1" applyBorder="1" applyAlignment="1">
      <alignment horizontal="left"/>
    </xf>
    <xf numFmtId="0" fontId="24" fillId="2" borderId="34" xfId="0" applyFont="1" applyFill="1" applyBorder="1" applyAlignment="1">
      <alignment horizontal="left" vertical="center"/>
    </xf>
    <xf numFmtId="0" fontId="24" fillId="2" borderId="42" xfId="0" applyFont="1" applyFill="1" applyBorder="1" applyAlignment="1">
      <alignment horizontal="left" vertical="center"/>
    </xf>
    <xf numFmtId="0" fontId="24" fillId="2" borderId="35" xfId="0" applyFont="1" applyFill="1" applyBorder="1" applyAlignment="1">
      <alignment horizontal="left" vertical="center"/>
    </xf>
    <xf numFmtId="0" fontId="7" fillId="2" borderId="30" xfId="0" applyFont="1" applyFill="1" applyBorder="1" applyAlignment="1">
      <alignment horizontal="center" vertical="center"/>
    </xf>
    <xf numFmtId="0" fontId="0" fillId="2" borderId="32" xfId="0" applyFill="1" applyBorder="1" applyAlignment="1">
      <alignment horizontal="center" vertical="center"/>
    </xf>
    <xf numFmtId="0" fontId="0" fillId="2" borderId="31" xfId="0" applyFill="1" applyBorder="1" applyAlignment="1">
      <alignment horizontal="center" vertical="center"/>
    </xf>
    <xf numFmtId="0" fontId="26" fillId="0" borderId="40" xfId="0" applyFont="1" applyBorder="1" applyAlignment="1">
      <alignment horizontal="center" vertical="center" wrapText="1"/>
    </xf>
    <xf numFmtId="0" fontId="26" fillId="0" borderId="49" xfId="0" applyFont="1" applyBorder="1" applyAlignment="1">
      <alignment horizontal="center" vertical="center" wrapText="1"/>
    </xf>
    <xf numFmtId="0" fontId="26" fillId="0" borderId="43" xfId="0" applyFont="1" applyBorder="1" applyAlignment="1">
      <alignment horizontal="center" vertical="center" wrapText="1"/>
    </xf>
    <xf numFmtId="0" fontId="26" fillId="0" borderId="40" xfId="0" applyFont="1" applyBorder="1" applyAlignment="1">
      <alignment horizontal="center" vertical="center"/>
    </xf>
    <xf numFmtId="0" fontId="26" fillId="0" borderId="49" xfId="0" applyFont="1" applyBorder="1" applyAlignment="1">
      <alignment horizontal="center" vertical="center"/>
    </xf>
    <xf numFmtId="0" fontId="26" fillId="0" borderId="43" xfId="0" applyFont="1" applyBorder="1" applyAlignment="1">
      <alignment horizontal="center" vertical="center"/>
    </xf>
    <xf numFmtId="0" fontId="0" fillId="0" borderId="40" xfId="0" applyBorder="1" applyAlignment="1">
      <alignment horizontal="center" vertical="center" wrapText="1"/>
    </xf>
    <xf numFmtId="0" fontId="0" fillId="0" borderId="43" xfId="0" applyBorder="1" applyAlignment="1">
      <alignment horizontal="center" vertical="center" wrapText="1"/>
    </xf>
    <xf numFmtId="164" fontId="0" fillId="0" borderId="72" xfId="0" applyNumberFormat="1" applyBorder="1" applyAlignment="1">
      <alignment horizontal="center" vertical="center" wrapText="1"/>
    </xf>
    <xf numFmtId="164" fontId="0" fillId="0" borderId="49" xfId="0" applyNumberFormat="1" applyBorder="1" applyAlignment="1">
      <alignment horizontal="center" vertical="center" wrapText="1"/>
    </xf>
    <xf numFmtId="175" fontId="21" fillId="7" borderId="6" xfId="0" applyNumberFormat="1" applyFont="1" applyFill="1" applyBorder="1" applyAlignment="1" applyProtection="1">
      <alignment horizontal="left"/>
      <protection locked="0"/>
    </xf>
    <xf numFmtId="175" fontId="21" fillId="7" borderId="23" xfId="0" applyNumberFormat="1" applyFont="1" applyFill="1" applyBorder="1" applyAlignment="1" applyProtection="1">
      <alignment horizontal="left"/>
      <protection locked="0"/>
    </xf>
    <xf numFmtId="0" fontId="22" fillId="0" borderId="3" xfId="0" applyFont="1" applyBorder="1" applyAlignment="1">
      <alignment horizontal="left"/>
    </xf>
    <xf numFmtId="0" fontId="22" fillId="0" borderId="18" xfId="0" applyFont="1" applyBorder="1" applyAlignment="1">
      <alignment horizontal="left"/>
    </xf>
    <xf numFmtId="0" fontId="76" fillId="7" borderId="6" xfId="4" applyFont="1" applyFill="1" applyBorder="1" applyAlignment="1" applyProtection="1">
      <alignment horizontal="left"/>
      <protection locked="0"/>
    </xf>
    <xf numFmtId="0" fontId="76" fillId="7" borderId="7" xfId="4" applyFont="1" applyFill="1" applyBorder="1" applyAlignment="1" applyProtection="1">
      <alignment horizontal="left"/>
      <protection locked="0"/>
    </xf>
    <xf numFmtId="0" fontId="76" fillId="7" borderId="8" xfId="4" applyFont="1" applyFill="1" applyBorder="1" applyAlignment="1" applyProtection="1">
      <alignment horizontal="left"/>
      <protection locked="0"/>
    </xf>
    <xf numFmtId="0" fontId="20" fillId="8" borderId="34" xfId="0" applyFont="1" applyFill="1" applyBorder="1" applyAlignment="1">
      <alignment horizontal="left" vertical="center" wrapText="1"/>
    </xf>
    <xf numFmtId="0" fontId="20" fillId="8" borderId="42" xfId="0" applyFont="1" applyFill="1" applyBorder="1" applyAlignment="1">
      <alignment horizontal="left" vertical="center" wrapText="1"/>
    </xf>
    <xf numFmtId="0" fontId="20" fillId="8" borderId="35" xfId="0" applyFont="1" applyFill="1" applyBorder="1" applyAlignment="1">
      <alignment horizontal="left" vertical="center" wrapText="1"/>
    </xf>
    <xf numFmtId="0" fontId="20" fillId="8" borderId="24" xfId="0" applyFont="1" applyFill="1" applyBorder="1" applyAlignment="1">
      <alignment horizontal="left" vertical="center" wrapText="1"/>
    </xf>
    <xf numFmtId="0" fontId="20" fillId="8" borderId="0" xfId="0" applyFont="1" applyFill="1" applyAlignment="1">
      <alignment horizontal="left" vertical="center" wrapText="1"/>
    </xf>
    <xf numFmtId="0" fontId="20" fillId="8" borderId="20" xfId="0" applyFont="1" applyFill="1" applyBorder="1" applyAlignment="1">
      <alignment horizontal="left" vertical="center" wrapText="1"/>
    </xf>
    <xf numFmtId="0" fontId="20" fillId="8" borderId="19" xfId="0" applyFont="1" applyFill="1" applyBorder="1" applyAlignment="1">
      <alignment horizontal="left" vertical="center" wrapText="1"/>
    </xf>
    <xf numFmtId="0" fontId="20" fillId="8" borderId="7" xfId="0" applyFont="1" applyFill="1" applyBorder="1" applyAlignment="1">
      <alignment horizontal="left" vertical="center" wrapText="1"/>
    </xf>
    <xf numFmtId="0" fontId="20" fillId="8" borderId="23" xfId="0" applyFont="1" applyFill="1" applyBorder="1" applyAlignment="1">
      <alignment horizontal="left" vertical="center" wrapText="1"/>
    </xf>
    <xf numFmtId="0" fontId="21" fillId="7" borderId="24" xfId="0" applyFont="1" applyFill="1" applyBorder="1" applyAlignment="1" applyProtection="1">
      <alignment horizontal="left"/>
      <protection locked="0"/>
    </xf>
    <xf numFmtId="0" fontId="21" fillId="7" borderId="0" xfId="0" applyFont="1" applyFill="1" applyAlignment="1" applyProtection="1">
      <alignment horizontal="left"/>
      <protection locked="0"/>
    </xf>
    <xf numFmtId="0" fontId="21" fillId="7" borderId="5" xfId="0" applyFont="1" applyFill="1" applyBorder="1" applyAlignment="1" applyProtection="1">
      <alignment horizontal="left"/>
      <protection locked="0"/>
    </xf>
    <xf numFmtId="0" fontId="21" fillId="7" borderId="4" xfId="0" applyFont="1" applyFill="1" applyBorder="1" applyAlignment="1" applyProtection="1">
      <alignment horizontal="left"/>
      <protection locked="0"/>
    </xf>
    <xf numFmtId="0" fontId="21" fillId="7" borderId="67" xfId="0" applyFont="1" applyFill="1" applyBorder="1" applyAlignment="1" applyProtection="1">
      <alignment horizontal="left"/>
      <protection locked="0"/>
    </xf>
    <xf numFmtId="0" fontId="21" fillId="7" borderId="63" xfId="0" applyFont="1" applyFill="1" applyBorder="1" applyAlignment="1" applyProtection="1">
      <alignment horizontal="left"/>
      <protection locked="0"/>
    </xf>
    <xf numFmtId="0" fontId="21" fillId="7" borderId="6" xfId="0" applyFont="1" applyFill="1" applyBorder="1" applyAlignment="1" applyProtection="1">
      <alignment horizontal="left"/>
      <protection locked="0"/>
    </xf>
    <xf numFmtId="0" fontId="21" fillId="7" borderId="23" xfId="0" applyFont="1" applyFill="1" applyBorder="1" applyAlignment="1" applyProtection="1">
      <alignment horizontal="left"/>
      <protection locked="0"/>
    </xf>
    <xf numFmtId="0" fontId="21" fillId="7" borderId="25" xfId="0" applyFont="1" applyFill="1" applyBorder="1" applyAlignment="1" applyProtection="1">
      <alignment horizontal="left"/>
      <protection locked="0"/>
    </xf>
    <xf numFmtId="0" fontId="21" fillId="7" borderId="26" xfId="0" applyFont="1" applyFill="1" applyBorder="1" applyAlignment="1" applyProtection="1">
      <alignment horizontal="left"/>
      <protection locked="0"/>
    </xf>
    <xf numFmtId="0" fontId="21" fillId="7" borderId="62" xfId="0" applyFont="1" applyFill="1" applyBorder="1" applyAlignment="1" applyProtection="1">
      <alignment horizontal="left"/>
      <protection locked="0"/>
    </xf>
    <xf numFmtId="0" fontId="21" fillId="7" borderId="8" xfId="0" applyFont="1" applyFill="1" applyBorder="1" applyAlignment="1" applyProtection="1">
      <alignment horizontal="left"/>
      <protection locked="0"/>
    </xf>
    <xf numFmtId="0" fontId="24" fillId="7" borderId="38" xfId="0" applyFont="1" applyFill="1" applyBorder="1" applyProtection="1">
      <protection locked="0"/>
    </xf>
    <xf numFmtId="0" fontId="55" fillId="7" borderId="28" xfId="0" applyFont="1" applyFill="1" applyBorder="1" applyProtection="1">
      <protection locked="0"/>
    </xf>
    <xf numFmtId="0" fontId="21" fillId="7" borderId="66" xfId="0" applyFont="1" applyFill="1" applyBorder="1" applyAlignment="1" applyProtection="1">
      <alignment horizontal="left"/>
      <protection locked="0"/>
    </xf>
    <xf numFmtId="171" fontId="21" fillId="7" borderId="58" xfId="0" applyNumberFormat="1" applyFont="1" applyFill="1" applyBorder="1" applyAlignment="1" applyProtection="1">
      <alignment horizontal="left" vertical="center"/>
      <protection locked="0"/>
    </xf>
    <xf numFmtId="171" fontId="21" fillId="7" borderId="51" xfId="0" applyNumberFormat="1" applyFont="1" applyFill="1" applyBorder="1" applyAlignment="1" applyProtection="1">
      <alignment horizontal="left" vertical="center"/>
      <protection locked="0"/>
    </xf>
    <xf numFmtId="0" fontId="22" fillId="0" borderId="52" xfId="0" applyFont="1" applyBorder="1" applyAlignment="1">
      <alignment horizontal="left"/>
    </xf>
    <xf numFmtId="0" fontId="22" fillId="0" borderId="9" xfId="0" applyFont="1" applyBorder="1" applyAlignment="1">
      <alignment horizontal="left"/>
    </xf>
    <xf numFmtId="0" fontId="22" fillId="0" borderId="15" xfId="0" applyFont="1" applyBorder="1" applyAlignment="1">
      <alignment horizontal="left"/>
    </xf>
    <xf numFmtId="0" fontId="0" fillId="0" borderId="18" xfId="0" applyBorder="1" applyAlignment="1">
      <alignment horizontal="center" vertical="center" wrapText="1"/>
    </xf>
    <xf numFmtId="0" fontId="0" fillId="0" borderId="29" xfId="0" applyBorder="1" applyAlignment="1">
      <alignment horizontal="center" vertical="center" wrapText="1"/>
    </xf>
    <xf numFmtId="0" fontId="0" fillId="0" borderId="18" xfId="0" applyBorder="1" applyAlignment="1">
      <alignment horizontal="center" vertical="center"/>
    </xf>
    <xf numFmtId="0" fontId="0" fillId="0" borderId="29" xfId="0" applyBorder="1" applyAlignment="1">
      <alignment horizontal="center" vertical="center"/>
    </xf>
    <xf numFmtId="0" fontId="22" fillId="0" borderId="51" xfId="0" applyFont="1" applyBorder="1" applyAlignment="1">
      <alignment horizontal="left" vertical="center"/>
    </xf>
    <xf numFmtId="0" fontId="20" fillId="7" borderId="51" xfId="0" applyFont="1" applyFill="1" applyBorder="1" applyAlignment="1">
      <alignment horizontal="center"/>
    </xf>
    <xf numFmtId="0" fontId="22" fillId="0" borderId="14" xfId="0" applyFont="1" applyBorder="1" applyAlignment="1">
      <alignment horizontal="left" vertical="center"/>
    </xf>
    <xf numFmtId="0" fontId="22" fillId="0" borderId="9" xfId="0" applyFont="1" applyBorder="1" applyAlignment="1">
      <alignment horizontal="left" vertical="center"/>
    </xf>
    <xf numFmtId="0" fontId="22" fillId="0" borderId="15" xfId="0" applyFont="1" applyBorder="1" applyAlignment="1">
      <alignment horizontal="left" vertical="center"/>
    </xf>
    <xf numFmtId="0" fontId="21" fillId="7" borderId="14" xfId="0" applyFont="1" applyFill="1" applyBorder="1" applyAlignment="1" applyProtection="1">
      <alignment horizontal="left"/>
      <protection locked="0"/>
    </xf>
    <xf numFmtId="0" fontId="21" fillId="7" borderId="50" xfId="0" applyFont="1" applyFill="1" applyBorder="1" applyAlignment="1" applyProtection="1">
      <alignment horizontal="left"/>
      <protection locked="0"/>
    </xf>
    <xf numFmtId="14" fontId="21" fillId="7" borderId="6" xfId="0" applyNumberFormat="1" applyFont="1" applyFill="1" applyBorder="1" applyAlignment="1" applyProtection="1">
      <alignment horizontal="center"/>
      <protection locked="0"/>
    </xf>
    <xf numFmtId="14" fontId="21" fillId="7" borderId="23" xfId="0" applyNumberFormat="1" applyFont="1" applyFill="1" applyBorder="1" applyAlignment="1" applyProtection="1">
      <alignment horizontal="center"/>
      <protection locked="0"/>
    </xf>
    <xf numFmtId="0" fontId="25" fillId="0" borderId="25" xfId="0" applyFont="1" applyBorder="1" applyAlignment="1">
      <alignment horizontal="center" vertical="center"/>
    </xf>
    <xf numFmtId="0" fontId="25" fillId="0" borderId="62" xfId="0" applyFont="1" applyBorder="1" applyAlignment="1">
      <alignment horizontal="center" vertical="center"/>
    </xf>
    <xf numFmtId="0" fontId="22" fillId="0" borderId="58" xfId="0" applyFont="1" applyBorder="1" applyAlignment="1">
      <alignment horizontal="left"/>
    </xf>
    <xf numFmtId="0" fontId="22" fillId="0" borderId="51" xfId="0" applyFont="1" applyBorder="1" applyAlignment="1">
      <alignment horizontal="left"/>
    </xf>
    <xf numFmtId="0" fontId="7" fillId="0" borderId="40" xfId="0" applyFont="1" applyBorder="1" applyAlignment="1">
      <alignment horizontal="center" vertical="center"/>
    </xf>
    <xf numFmtId="0" fontId="7" fillId="0" borderId="74" xfId="0" applyFont="1" applyBorder="1" applyAlignment="1">
      <alignment horizontal="center" vertical="center"/>
    </xf>
    <xf numFmtId="0" fontId="8" fillId="0" borderId="40" xfId="0" applyFont="1" applyBorder="1" applyAlignment="1">
      <alignment horizontal="center" vertical="center" wrapText="1"/>
    </xf>
    <xf numFmtId="0" fontId="8" fillId="0" borderId="43" xfId="0" applyFont="1" applyBorder="1" applyAlignment="1">
      <alignment horizontal="center" vertical="center" wrapText="1"/>
    </xf>
    <xf numFmtId="164" fontId="8" fillId="0" borderId="35" xfId="0" applyNumberFormat="1" applyFont="1" applyBorder="1" applyAlignment="1">
      <alignment horizontal="center" vertical="center" wrapText="1"/>
    </xf>
    <xf numFmtId="164" fontId="8" fillId="0" borderId="29" xfId="0" applyNumberFormat="1" applyFont="1" applyBorder="1" applyAlignment="1">
      <alignment horizontal="center" vertical="center" wrapText="1"/>
    </xf>
    <xf numFmtId="0" fontId="0" fillId="0" borderId="69" xfId="0" applyBorder="1" applyAlignment="1">
      <alignment horizontal="center" vertical="center"/>
    </xf>
    <xf numFmtId="0" fontId="0" fillId="0" borderId="71" xfId="0" applyBorder="1" applyAlignment="1">
      <alignment horizontal="center" vertical="center"/>
    </xf>
    <xf numFmtId="0" fontId="0" fillId="0" borderId="30" xfId="0" applyBorder="1" applyAlignment="1">
      <alignment horizontal="center" vertical="center"/>
    </xf>
    <xf numFmtId="0" fontId="7" fillId="0" borderId="30" xfId="0" applyFont="1" applyBorder="1" applyAlignment="1">
      <alignment horizontal="center"/>
    </xf>
    <xf numFmtId="0" fontId="7" fillId="0" borderId="31" xfId="0" applyFont="1" applyBorder="1" applyAlignment="1">
      <alignment horizontal="center"/>
    </xf>
    <xf numFmtId="0" fontId="0" fillId="0" borderId="49" xfId="0" applyBorder="1" applyAlignment="1">
      <alignment horizontal="center" vertical="center"/>
    </xf>
    <xf numFmtId="0" fontId="0" fillId="0" borderId="43" xfId="0" applyBorder="1" applyAlignment="1">
      <alignment horizontal="center" vertical="center"/>
    </xf>
    <xf numFmtId="0" fontId="22" fillId="0" borderId="14" xfId="0" applyFont="1" applyBorder="1" applyAlignment="1">
      <alignment horizontal="left"/>
    </xf>
    <xf numFmtId="0" fontId="22" fillId="0" borderId="50" xfId="0" applyFont="1" applyBorder="1" applyAlignment="1">
      <alignment horizontal="left"/>
    </xf>
    <xf numFmtId="0" fontId="25" fillId="0" borderId="30" xfId="0" applyFont="1" applyBorder="1" applyAlignment="1">
      <alignment horizontal="center" vertical="center"/>
    </xf>
    <xf numFmtId="0" fontId="25" fillId="0" borderId="31" xfId="0" applyFont="1" applyBorder="1" applyAlignment="1">
      <alignment horizontal="center" vertical="center"/>
    </xf>
    <xf numFmtId="164" fontId="0" fillId="0" borderId="43" xfId="0" applyNumberFormat="1" applyBorder="1" applyAlignment="1">
      <alignment horizontal="center" vertical="center" wrapText="1"/>
    </xf>
    <xf numFmtId="0" fontId="31" fillId="0" borderId="67" xfId="0" applyFont="1" applyBorder="1" applyAlignment="1">
      <alignment horizontal="left" vertical="center"/>
    </xf>
    <xf numFmtId="0" fontId="31" fillId="0" borderId="63" xfId="0" applyFont="1" applyBorder="1" applyAlignment="1">
      <alignment horizontal="left" vertical="center"/>
    </xf>
    <xf numFmtId="0" fontId="31" fillId="0" borderId="17" xfId="0" applyFont="1" applyBorder="1" applyAlignment="1">
      <alignment horizontal="left" vertical="center"/>
    </xf>
    <xf numFmtId="0" fontId="31" fillId="0" borderId="78" xfId="0" applyFont="1" applyBorder="1" applyAlignment="1">
      <alignment horizontal="left" vertical="center"/>
    </xf>
    <xf numFmtId="0" fontId="32" fillId="2" borderId="11" xfId="0" applyFont="1" applyFill="1" applyBorder="1" applyAlignment="1">
      <alignment horizontal="right" vertical="center"/>
    </xf>
    <xf numFmtId="0" fontId="32" fillId="2" borderId="41" xfId="0" applyFont="1" applyFill="1" applyBorder="1" applyAlignment="1">
      <alignment horizontal="right" vertical="center"/>
    </xf>
    <xf numFmtId="0" fontId="29" fillId="2" borderId="10" xfId="0" applyFont="1" applyFill="1" applyBorder="1" applyAlignment="1">
      <alignment horizontal="left" vertical="center"/>
    </xf>
    <xf numFmtId="0" fontId="29" fillId="2" borderId="11" xfId="0" applyFont="1" applyFill="1" applyBorder="1" applyAlignment="1">
      <alignment horizontal="left" vertical="center"/>
    </xf>
    <xf numFmtId="0" fontId="29" fillId="2" borderId="30" xfId="0" applyFont="1" applyFill="1" applyBorder="1" applyAlignment="1" applyProtection="1">
      <alignment horizontal="center"/>
      <protection hidden="1"/>
    </xf>
    <xf numFmtId="0" fontId="29" fillId="2" borderId="31" xfId="0" applyFont="1" applyFill="1" applyBorder="1" applyAlignment="1" applyProtection="1">
      <alignment horizontal="center"/>
      <protection hidden="1"/>
    </xf>
    <xf numFmtId="0" fontId="33" fillId="0" borderId="65" xfId="0" applyFont="1" applyBorder="1" applyAlignment="1">
      <alignment horizontal="left"/>
    </xf>
    <xf numFmtId="0" fontId="33" fillId="0" borderId="2" xfId="0" applyFont="1" applyBorder="1" applyAlignment="1">
      <alignment horizontal="left"/>
    </xf>
    <xf numFmtId="0" fontId="33" fillId="0" borderId="1" xfId="0" applyFont="1" applyBorder="1" applyAlignment="1">
      <alignment horizontal="left"/>
    </xf>
    <xf numFmtId="0" fontId="33" fillId="0" borderId="4" xfId="0" applyFont="1" applyBorder="1" applyAlignment="1">
      <alignment horizontal="left"/>
    </xf>
    <xf numFmtId="0" fontId="33" fillId="0" borderId="20" xfId="0" applyFont="1" applyBorder="1" applyAlignment="1">
      <alignment horizontal="left"/>
    </xf>
    <xf numFmtId="0" fontId="29" fillId="0" borderId="19" xfId="0" applyFont="1" applyBorder="1" applyAlignment="1">
      <alignment horizontal="left"/>
    </xf>
    <xf numFmtId="0" fontId="29" fillId="0" borderId="7" xfId="0" applyFont="1" applyBorder="1" applyAlignment="1">
      <alignment horizontal="left"/>
    </xf>
    <xf numFmtId="0" fontId="29" fillId="0" borderId="24" xfId="0" applyFont="1" applyBorder="1" applyAlignment="1">
      <alignment horizontal="left"/>
    </xf>
    <xf numFmtId="0" fontId="29" fillId="0" borderId="0" xfId="0" applyFont="1" applyAlignment="1">
      <alignment horizontal="left"/>
    </xf>
    <xf numFmtId="0" fontId="29" fillId="0" borderId="4" xfId="0" applyFont="1" applyBorder="1" applyAlignment="1">
      <alignment horizontal="left"/>
    </xf>
    <xf numFmtId="0" fontId="29" fillId="0" borderId="20" xfId="0" applyFont="1" applyBorder="1" applyAlignment="1">
      <alignment horizontal="left"/>
    </xf>
    <xf numFmtId="0" fontId="29" fillId="0" borderId="4" xfId="0" applyFont="1" applyBorder="1"/>
    <xf numFmtId="0" fontId="29" fillId="0" borderId="20" xfId="0" applyFont="1" applyBorder="1"/>
    <xf numFmtId="0" fontId="31" fillId="0" borderId="0" xfId="0" applyFont="1" applyAlignment="1">
      <alignment horizontal="center" vertical="center" wrapText="1"/>
    </xf>
    <xf numFmtId="0" fontId="33" fillId="0" borderId="18" xfId="0" applyFont="1" applyBorder="1" applyAlignment="1">
      <alignment horizontal="left"/>
    </xf>
    <xf numFmtId="0" fontId="29" fillId="0" borderId="38" xfId="0" applyFont="1" applyBorder="1" applyAlignment="1">
      <alignment horizontal="left"/>
    </xf>
    <xf numFmtId="0" fontId="29" fillId="0" borderId="28" xfId="0" applyFont="1" applyBorder="1" applyAlignment="1">
      <alignment horizontal="left"/>
    </xf>
    <xf numFmtId="0" fontId="29" fillId="0" borderId="27" xfId="0" applyFont="1" applyBorder="1" applyAlignment="1">
      <alignment horizontal="left"/>
    </xf>
    <xf numFmtId="0" fontId="29" fillId="0" borderId="29" xfId="0" applyFont="1" applyBorder="1" applyAlignment="1">
      <alignment horizontal="left"/>
    </xf>
    <xf numFmtId="0" fontId="29" fillId="2" borderId="30" xfId="0" applyFont="1" applyFill="1" applyBorder="1" applyAlignment="1" applyProtection="1">
      <alignment horizontal="center" vertical="center"/>
      <protection hidden="1"/>
    </xf>
    <xf numFmtId="0" fontId="29" fillId="2" borderId="32" xfId="0" applyFont="1" applyFill="1" applyBorder="1" applyAlignment="1" applyProtection="1">
      <alignment horizontal="center" vertical="center"/>
      <protection hidden="1"/>
    </xf>
    <xf numFmtId="0" fontId="29" fillId="2" borderId="32" xfId="0" applyFont="1" applyFill="1" applyBorder="1" applyAlignment="1" applyProtection="1">
      <alignment horizontal="center"/>
      <protection hidden="1"/>
    </xf>
    <xf numFmtId="0" fontId="29" fillId="2" borderId="31" xfId="0" applyFont="1" applyFill="1" applyBorder="1" applyAlignment="1" applyProtection="1">
      <alignment horizontal="center" vertical="center"/>
      <protection hidden="1"/>
    </xf>
    <xf numFmtId="0" fontId="31" fillId="0" borderId="30" xfId="0" applyFont="1" applyBorder="1" applyAlignment="1" applyProtection="1">
      <alignment horizontal="center" vertical="center" wrapText="1"/>
      <protection hidden="1"/>
    </xf>
    <xf numFmtId="0" fontId="31" fillId="0" borderId="31" xfId="0" applyFont="1" applyBorder="1" applyAlignment="1" applyProtection="1">
      <alignment horizontal="center" vertical="center" wrapText="1"/>
      <protection hidden="1"/>
    </xf>
    <xf numFmtId="0" fontId="31" fillId="0" borderId="69" xfId="0" applyFont="1" applyBorder="1" applyAlignment="1" applyProtection="1">
      <alignment horizontal="center" vertical="center" wrapText="1"/>
      <protection hidden="1"/>
    </xf>
    <xf numFmtId="0" fontId="31" fillId="0" borderId="71" xfId="0" applyFont="1" applyBorder="1" applyAlignment="1" applyProtection="1">
      <alignment horizontal="center" vertical="center" wrapText="1"/>
      <protection hidden="1"/>
    </xf>
    <xf numFmtId="0" fontId="29" fillId="7" borderId="67" xfId="0" applyFont="1" applyFill="1" applyBorder="1" applyAlignment="1" applyProtection="1">
      <alignment horizontal="center" vertical="center" wrapText="1"/>
      <protection locked="0"/>
    </xf>
    <xf numFmtId="0" fontId="29" fillId="7" borderId="68" xfId="0" applyFont="1" applyFill="1" applyBorder="1" applyAlignment="1" applyProtection="1">
      <alignment horizontal="center" vertical="center" wrapText="1"/>
      <protection locked="0"/>
    </xf>
    <xf numFmtId="0" fontId="90" fillId="0" borderId="0" xfId="0" applyFont="1" applyAlignment="1" applyProtection="1">
      <alignment horizontal="center" vertical="center"/>
      <protection hidden="1"/>
    </xf>
    <xf numFmtId="0" fontId="29" fillId="7" borderId="60" xfId="0" applyFont="1" applyFill="1" applyBorder="1" applyAlignment="1" applyProtection="1">
      <alignment horizontal="center" vertical="center" wrapText="1"/>
      <protection locked="0"/>
    </xf>
    <xf numFmtId="0" fontId="29" fillId="7" borderId="61" xfId="0" applyFont="1" applyFill="1" applyBorder="1" applyAlignment="1" applyProtection="1">
      <alignment horizontal="center" vertical="center" wrapText="1"/>
      <protection locked="0"/>
    </xf>
    <xf numFmtId="0" fontId="29" fillId="7" borderId="58" xfId="0" applyFont="1" applyFill="1" applyBorder="1" applyAlignment="1" applyProtection="1">
      <alignment horizontal="center" vertical="center" wrapText="1"/>
      <protection locked="0"/>
    </xf>
    <xf numFmtId="0" fontId="29" fillId="7" borderId="59" xfId="0" applyFont="1" applyFill="1" applyBorder="1" applyAlignment="1" applyProtection="1">
      <alignment horizontal="center" vertical="center" wrapText="1"/>
      <protection locked="0"/>
    </xf>
    <xf numFmtId="0" fontId="29" fillId="6" borderId="30" xfId="0" applyFont="1" applyFill="1" applyBorder="1" applyAlignment="1">
      <alignment horizontal="right" vertical="center"/>
    </xf>
    <xf numFmtId="0" fontId="29" fillId="6" borderId="31" xfId="0" applyFont="1" applyFill="1" applyBorder="1" applyAlignment="1">
      <alignment horizontal="right" vertical="center"/>
    </xf>
    <xf numFmtId="0" fontId="31" fillId="0" borderId="7" xfId="0" applyFont="1" applyBorder="1" applyAlignment="1">
      <alignment horizontal="center" vertical="center"/>
    </xf>
    <xf numFmtId="0" fontId="31" fillId="0" borderId="9" xfId="0" applyFont="1" applyBorder="1" applyAlignment="1">
      <alignment horizontal="center" vertical="center"/>
    </xf>
    <xf numFmtId="0" fontId="29" fillId="2" borderId="30" xfId="0" applyFont="1" applyFill="1" applyBorder="1" applyAlignment="1">
      <alignment horizontal="center" vertical="center"/>
    </xf>
    <xf numFmtId="0" fontId="29" fillId="2" borderId="32" xfId="0" applyFont="1" applyFill="1" applyBorder="1" applyAlignment="1">
      <alignment horizontal="center" vertical="center"/>
    </xf>
    <xf numFmtId="0" fontId="29" fillId="2" borderId="31" xfId="0" applyFont="1" applyFill="1" applyBorder="1" applyAlignment="1">
      <alignment horizontal="center" vertical="center"/>
    </xf>
    <xf numFmtId="49" fontId="29" fillId="6" borderId="30" xfId="0" applyNumberFormat="1" applyFont="1" applyFill="1" applyBorder="1" applyAlignment="1">
      <alignment horizontal="right" vertical="center"/>
    </xf>
    <xf numFmtId="49" fontId="29" fillId="6" borderId="31" xfId="0" applyNumberFormat="1" applyFont="1" applyFill="1" applyBorder="1" applyAlignment="1">
      <alignment horizontal="right" vertical="center"/>
    </xf>
    <xf numFmtId="0" fontId="29" fillId="0" borderId="0" xfId="0" applyFont="1" applyAlignment="1">
      <alignment horizontal="center" wrapText="1"/>
    </xf>
    <xf numFmtId="0" fontId="46" fillId="0" borderId="0" xfId="0" applyFont="1" applyAlignment="1">
      <alignment horizontal="center" wrapText="1"/>
    </xf>
    <xf numFmtId="0" fontId="29" fillId="7" borderId="38" xfId="0" applyFont="1" applyFill="1" applyBorder="1" applyAlignment="1" applyProtection="1">
      <alignment horizontal="center" vertical="center"/>
      <protection locked="0"/>
    </xf>
    <xf numFmtId="0" fontId="29" fillId="7" borderId="29" xfId="0" applyFont="1" applyFill="1" applyBorder="1" applyAlignment="1" applyProtection="1">
      <alignment horizontal="center" vertical="center"/>
      <protection locked="0"/>
    </xf>
    <xf numFmtId="0" fontId="31" fillId="0" borderId="42" xfId="0" applyFont="1" applyBorder="1" applyAlignment="1">
      <alignment horizontal="center" vertical="center"/>
    </xf>
    <xf numFmtId="0" fontId="31" fillId="0" borderId="35" xfId="0" applyFont="1" applyBorder="1" applyAlignment="1">
      <alignment horizontal="center" vertical="center"/>
    </xf>
    <xf numFmtId="0" fontId="29" fillId="7" borderId="24" xfId="0" applyFont="1" applyFill="1" applyBorder="1" applyAlignment="1" applyProtection="1">
      <alignment horizontal="center" vertical="center"/>
      <protection locked="0"/>
    </xf>
    <xf numFmtId="0" fontId="29" fillId="7" borderId="0" xfId="0" applyFont="1" applyFill="1" applyAlignment="1" applyProtection="1">
      <alignment horizontal="center" vertical="center"/>
      <protection locked="0"/>
    </xf>
    <xf numFmtId="164" fontId="29" fillId="7" borderId="0" xfId="0" applyNumberFormat="1" applyFont="1" applyFill="1" applyAlignment="1" applyProtection="1">
      <alignment horizontal="center" vertical="center"/>
      <protection locked="0"/>
    </xf>
    <xf numFmtId="164" fontId="29" fillId="7" borderId="20" xfId="0" applyNumberFormat="1" applyFont="1" applyFill="1" applyBorder="1" applyAlignment="1" applyProtection="1">
      <alignment horizontal="center" vertical="center"/>
      <protection locked="0"/>
    </xf>
    <xf numFmtId="0" fontId="29" fillId="7" borderId="34" xfId="0" applyFont="1" applyFill="1" applyBorder="1" applyAlignment="1" applyProtection="1">
      <alignment horizontal="center" vertical="center"/>
      <protection locked="0"/>
    </xf>
    <xf numFmtId="0" fontId="29" fillId="7" borderId="35" xfId="0" applyFont="1" applyFill="1" applyBorder="1" applyAlignment="1" applyProtection="1">
      <alignment horizontal="center" vertical="center"/>
      <protection locked="0"/>
    </xf>
    <xf numFmtId="0" fontId="29" fillId="7" borderId="20" xfId="0" applyFont="1" applyFill="1" applyBorder="1" applyAlignment="1" applyProtection="1">
      <alignment horizontal="center" vertical="center"/>
      <protection locked="0"/>
    </xf>
    <xf numFmtId="0" fontId="31" fillId="0" borderId="34" xfId="0" applyFont="1" applyBorder="1" applyAlignment="1">
      <alignment horizontal="center" vertical="center"/>
    </xf>
    <xf numFmtId="0" fontId="29" fillId="0" borderId="24" xfId="0" applyFont="1" applyBorder="1" applyAlignment="1">
      <alignment horizontal="center" vertical="center" wrapText="1"/>
    </xf>
    <xf numFmtId="0" fontId="29" fillId="0" borderId="0" xfId="0" applyFont="1" applyAlignment="1">
      <alignment horizontal="center" vertical="center" wrapText="1"/>
    </xf>
    <xf numFmtId="0" fontId="46" fillId="0" borderId="34" xfId="0" applyFont="1" applyBorder="1" applyAlignment="1">
      <alignment horizontal="center"/>
    </xf>
    <xf numFmtId="0" fontId="46" fillId="0" borderId="35" xfId="0" applyFont="1" applyBorder="1" applyAlignment="1">
      <alignment horizontal="center"/>
    </xf>
    <xf numFmtId="0" fontId="29" fillId="7" borderId="28" xfId="0" applyFont="1" applyFill="1" applyBorder="1" applyAlignment="1" applyProtection="1">
      <alignment horizontal="center" vertical="center"/>
      <protection locked="0"/>
    </xf>
    <xf numFmtId="164" fontId="29" fillId="7" borderId="28" xfId="0" applyNumberFormat="1" applyFont="1" applyFill="1" applyBorder="1" applyAlignment="1" applyProtection="1">
      <alignment horizontal="center" vertical="center"/>
      <protection locked="0"/>
    </xf>
    <xf numFmtId="164" fontId="29" fillId="7" borderId="29" xfId="0" applyNumberFormat="1" applyFont="1" applyFill="1" applyBorder="1" applyAlignment="1" applyProtection="1">
      <alignment horizontal="center" vertical="center"/>
      <protection locked="0"/>
    </xf>
    <xf numFmtId="0" fontId="29" fillId="7" borderId="42" xfId="0" applyFont="1" applyFill="1" applyBorder="1" applyAlignment="1" applyProtection="1">
      <alignment horizontal="center" vertical="center"/>
      <protection locked="0"/>
    </xf>
    <xf numFmtId="164" fontId="29" fillId="7" borderId="42" xfId="0" applyNumberFormat="1" applyFont="1" applyFill="1" applyBorder="1" applyAlignment="1" applyProtection="1">
      <alignment horizontal="center" vertical="center"/>
      <protection locked="0"/>
    </xf>
    <xf numFmtId="164" fontId="29" fillId="7" borderId="35" xfId="0" applyNumberFormat="1" applyFont="1" applyFill="1" applyBorder="1" applyAlignment="1" applyProtection="1">
      <alignment horizontal="center" vertical="center"/>
      <protection locked="0"/>
    </xf>
    <xf numFmtId="0" fontId="31" fillId="0" borderId="28" xfId="0" applyFont="1" applyBorder="1" applyAlignment="1">
      <alignment horizontal="center"/>
    </xf>
    <xf numFmtId="0" fontId="29" fillId="7" borderId="30" xfId="0" applyFont="1" applyFill="1" applyBorder="1" applyAlignment="1" applyProtection="1">
      <alignment horizontal="center"/>
      <protection locked="0"/>
    </xf>
    <xf numFmtId="0" fontId="29" fillId="7" borderId="32" xfId="0" applyFont="1" applyFill="1" applyBorder="1" applyAlignment="1" applyProtection="1">
      <alignment horizontal="center"/>
      <protection locked="0"/>
    </xf>
    <xf numFmtId="0" fontId="31" fillId="0" borderId="14" xfId="0" applyFont="1" applyBorder="1" applyAlignment="1">
      <alignment horizontal="left" vertical="center"/>
    </xf>
    <xf numFmtId="0" fontId="31" fillId="0" borderId="9" xfId="0" applyFont="1" applyBorder="1" applyAlignment="1">
      <alignment horizontal="left" vertical="center"/>
    </xf>
    <xf numFmtId="0" fontId="31" fillId="0" borderId="15" xfId="0" applyFont="1" applyBorder="1" applyAlignment="1">
      <alignment horizontal="left" vertical="center"/>
    </xf>
    <xf numFmtId="0" fontId="31" fillId="0" borderId="37" xfId="0" applyFont="1" applyBorder="1" applyAlignment="1">
      <alignment horizontal="center" vertical="center"/>
    </xf>
    <xf numFmtId="0" fontId="31" fillId="0" borderId="72" xfId="0" applyFont="1" applyBorder="1" applyAlignment="1">
      <alignment horizontal="center" vertical="center"/>
    </xf>
    <xf numFmtId="164" fontId="90" fillId="0" borderId="0" xfId="0" applyNumberFormat="1" applyFont="1" applyAlignment="1">
      <alignment horizontal="center" vertical="center"/>
    </xf>
    <xf numFmtId="14" fontId="34" fillId="0" borderId="24" xfId="0" applyNumberFormat="1" applyFont="1" applyBorder="1" applyAlignment="1">
      <alignment horizontal="center" vertical="center"/>
    </xf>
    <xf numFmtId="14" fontId="34" fillId="0" borderId="0" xfId="0" applyNumberFormat="1" applyFont="1" applyAlignment="1">
      <alignment horizontal="center" vertical="center"/>
    </xf>
    <xf numFmtId="0" fontId="31" fillId="0" borderId="24" xfId="0" applyFont="1" applyBorder="1" applyAlignment="1">
      <alignment horizontal="center" wrapText="1"/>
    </xf>
    <xf numFmtId="0" fontId="34" fillId="0" borderId="24" xfId="0" applyFont="1" applyBorder="1" applyAlignment="1">
      <alignment horizontal="left" wrapText="1"/>
    </xf>
    <xf numFmtId="0" fontId="34" fillId="0" borderId="0" xfId="0" applyFont="1" applyAlignment="1">
      <alignment horizontal="left" wrapText="1"/>
    </xf>
    <xf numFmtId="0" fontId="31" fillId="0" borderId="19" xfId="0" applyFont="1" applyBorder="1" applyAlignment="1">
      <alignment horizontal="center" vertical="center"/>
    </xf>
    <xf numFmtId="0" fontId="31" fillId="0" borderId="14" xfId="0" applyFont="1" applyBorder="1" applyAlignment="1">
      <alignment horizontal="center" vertical="center"/>
    </xf>
    <xf numFmtId="0" fontId="46" fillId="0" borderId="40" xfId="0" applyFont="1" applyBorder="1" applyAlignment="1">
      <alignment horizontal="center" vertical="center" wrapText="1"/>
    </xf>
    <xf numFmtId="0" fontId="46" fillId="0" borderId="49" xfId="0" applyFont="1" applyBorder="1" applyAlignment="1">
      <alignment horizontal="center" vertical="center" wrapText="1"/>
    </xf>
    <xf numFmtId="0" fontId="29" fillId="2" borderId="30" xfId="0" applyFont="1" applyFill="1" applyBorder="1" applyAlignment="1">
      <alignment horizontal="center"/>
    </xf>
    <xf numFmtId="0" fontId="31" fillId="2" borderId="32" xfId="0" applyFont="1" applyFill="1" applyBorder="1" applyAlignment="1">
      <alignment horizontal="center"/>
    </xf>
    <xf numFmtId="0" fontId="31" fillId="2" borderId="31" xfId="0" applyFont="1" applyFill="1" applyBorder="1" applyAlignment="1">
      <alignment horizontal="center"/>
    </xf>
    <xf numFmtId="0" fontId="31" fillId="0" borderId="37" xfId="0" applyFont="1" applyBorder="1" applyAlignment="1">
      <alignment horizontal="center" vertical="center" wrapText="1"/>
    </xf>
    <xf numFmtId="0" fontId="31" fillId="0" borderId="36" xfId="0" applyFont="1" applyBorder="1" applyAlignment="1">
      <alignment horizontal="center" vertical="center" wrapText="1"/>
    </xf>
    <xf numFmtId="0" fontId="31" fillId="0" borderId="36" xfId="0" applyFont="1" applyBorder="1" applyAlignment="1">
      <alignment horizontal="center" vertical="center"/>
    </xf>
    <xf numFmtId="0" fontId="31" fillId="0" borderId="38" xfId="0" applyFont="1" applyBorder="1" applyAlignment="1">
      <alignment horizontal="center" vertical="center"/>
    </xf>
    <xf numFmtId="0" fontId="31" fillId="0" borderId="29" xfId="0" applyFont="1" applyBorder="1" applyAlignment="1">
      <alignment horizontal="center" vertical="center"/>
    </xf>
    <xf numFmtId="49" fontId="31" fillId="0" borderId="37" xfId="0" applyNumberFormat="1" applyFont="1" applyBorder="1" applyAlignment="1">
      <alignment horizontal="left" vertical="center"/>
    </xf>
    <xf numFmtId="49" fontId="31" fillId="0" borderId="39" xfId="0" applyNumberFormat="1" applyFont="1" applyBorder="1" applyAlignment="1">
      <alignment horizontal="left" vertical="center"/>
    </xf>
    <xf numFmtId="0" fontId="31" fillId="0" borderId="35" xfId="0" applyFont="1" applyBorder="1" applyAlignment="1">
      <alignment horizontal="center" vertical="center" wrapText="1"/>
    </xf>
    <xf numFmtId="0" fontId="31" fillId="0" borderId="20" xfId="0" applyFont="1" applyBorder="1" applyAlignment="1">
      <alignment horizontal="center" vertical="center" wrapText="1"/>
    </xf>
    <xf numFmtId="1" fontId="31" fillId="0" borderId="24" xfId="0" quotePrefix="1" applyNumberFormat="1" applyFont="1" applyBorder="1" applyAlignment="1">
      <alignment horizontal="center" vertical="center"/>
    </xf>
    <xf numFmtId="1" fontId="31" fillId="0" borderId="20" xfId="0" quotePrefix="1" applyNumberFormat="1" applyFont="1" applyBorder="1" applyAlignment="1">
      <alignment horizontal="center" vertical="center"/>
    </xf>
    <xf numFmtId="1" fontId="31" fillId="0" borderId="34" xfId="0" applyNumberFormat="1" applyFont="1" applyBorder="1" applyAlignment="1">
      <alignment horizontal="center" vertical="center"/>
    </xf>
    <xf numFmtId="1" fontId="31" fillId="0" borderId="42" xfId="0" applyNumberFormat="1" applyFont="1" applyBorder="1" applyAlignment="1">
      <alignment horizontal="center" vertical="center"/>
    </xf>
    <xf numFmtId="1" fontId="31" fillId="0" borderId="24" xfId="0" applyNumberFormat="1" applyFont="1" applyBorder="1" applyAlignment="1">
      <alignment horizontal="center" vertical="center"/>
    </xf>
    <xf numFmtId="1" fontId="31" fillId="0" borderId="0" xfId="0" applyNumberFormat="1" applyFont="1" applyAlignment="1">
      <alignment horizontal="center" vertical="center"/>
    </xf>
    <xf numFmtId="0" fontId="39" fillId="0" borderId="37" xfId="0" applyFont="1" applyBorder="1" applyAlignment="1">
      <alignment horizontal="center" wrapText="1"/>
    </xf>
    <xf numFmtId="0" fontId="39" fillId="0" borderId="36" xfId="0" applyFont="1" applyBorder="1" applyAlignment="1">
      <alignment horizontal="center" wrapText="1"/>
    </xf>
    <xf numFmtId="0" fontId="31" fillId="0" borderId="58" xfId="0" applyFont="1" applyBorder="1" applyAlignment="1">
      <alignment horizontal="left" vertical="center"/>
    </xf>
    <xf numFmtId="0" fontId="31" fillId="0" borderId="51" xfId="0" applyFont="1" applyBorder="1" applyAlignment="1">
      <alignment horizontal="left" vertical="center"/>
    </xf>
    <xf numFmtId="0" fontId="31" fillId="0" borderId="59" xfId="0" applyFont="1" applyBorder="1" applyAlignment="1">
      <alignment horizontal="left" vertical="center"/>
    </xf>
    <xf numFmtId="0" fontId="90" fillId="0" borderId="0" xfId="0" applyFont="1" applyAlignment="1">
      <alignment horizontal="center" vertical="center" wrapText="1"/>
    </xf>
    <xf numFmtId="172" fontId="34" fillId="0" borderId="0" xfId="0" applyNumberFormat="1" applyFont="1" applyAlignment="1">
      <alignment horizontal="center"/>
    </xf>
    <xf numFmtId="0" fontId="31" fillId="0" borderId="35" xfId="0" applyFont="1" applyBorder="1" applyAlignment="1" applyProtection="1">
      <alignment horizontal="center" vertical="center"/>
      <protection hidden="1"/>
    </xf>
    <xf numFmtId="0" fontId="31" fillId="0" borderId="29" xfId="0" applyFont="1" applyBorder="1" applyAlignment="1" applyProtection="1">
      <alignment horizontal="center" vertical="center"/>
      <protection hidden="1"/>
    </xf>
    <xf numFmtId="0" fontId="51" fillId="0" borderId="34" xfId="0" applyFont="1" applyBorder="1" applyAlignment="1" applyProtection="1">
      <alignment horizontal="center" vertical="center"/>
      <protection locked="0"/>
    </xf>
    <xf numFmtId="0" fontId="51" fillId="0" borderId="35" xfId="0" applyFont="1" applyBorder="1" applyAlignment="1" applyProtection="1">
      <alignment horizontal="center" vertical="center"/>
      <protection locked="0"/>
    </xf>
    <xf numFmtId="0" fontId="51" fillId="0" borderId="24" xfId="0" applyFont="1" applyBorder="1" applyAlignment="1" applyProtection="1">
      <alignment horizontal="center" vertical="center"/>
      <protection locked="0"/>
    </xf>
    <xf numFmtId="0" fontId="51" fillId="0" borderId="20" xfId="0" applyFont="1" applyBorder="1" applyAlignment="1" applyProtection="1">
      <alignment horizontal="center" vertical="center"/>
      <protection locked="0"/>
    </xf>
    <xf numFmtId="0" fontId="51" fillId="0" borderId="38" xfId="0" applyFont="1" applyBorder="1" applyAlignment="1" applyProtection="1">
      <alignment horizontal="center" vertical="center"/>
      <protection locked="0"/>
    </xf>
    <xf numFmtId="0" fontId="51" fillId="0" borderId="29" xfId="0" applyFont="1" applyBorder="1" applyAlignment="1" applyProtection="1">
      <alignment horizontal="center" vertical="center"/>
      <protection locked="0"/>
    </xf>
    <xf numFmtId="0" fontId="39" fillId="0" borderId="30" xfId="0" applyFont="1" applyBorder="1" applyAlignment="1">
      <alignment horizontal="center"/>
    </xf>
    <xf numFmtId="0" fontId="39" fillId="0" borderId="31" xfId="0" applyFont="1" applyBorder="1" applyAlignment="1">
      <alignment horizontal="center"/>
    </xf>
    <xf numFmtId="0" fontId="31" fillId="0" borderId="38" xfId="0" applyFont="1" applyBorder="1" applyAlignment="1" applyProtection="1">
      <alignment horizontal="center" vertical="center"/>
      <protection hidden="1"/>
    </xf>
    <xf numFmtId="0" fontId="31" fillId="0" borderId="28" xfId="0" applyFont="1" applyBorder="1" applyAlignment="1" applyProtection="1">
      <alignment horizontal="center" vertical="center"/>
      <protection hidden="1"/>
    </xf>
    <xf numFmtId="0" fontId="31" fillId="0" borderId="30" xfId="0" applyFont="1" applyBorder="1" applyAlignment="1" applyProtection="1">
      <alignment horizontal="center" vertical="center"/>
      <protection hidden="1"/>
    </xf>
    <xf numFmtId="0" fontId="31" fillId="0" borderId="31" xfId="0" applyFont="1" applyBorder="1" applyAlignment="1" applyProtection="1">
      <alignment horizontal="center" vertical="center"/>
      <protection hidden="1"/>
    </xf>
    <xf numFmtId="0" fontId="31" fillId="0" borderId="34" xfId="0" applyFont="1" applyBorder="1" applyAlignment="1" applyProtection="1">
      <alignment horizontal="center" vertical="center"/>
      <protection hidden="1"/>
    </xf>
    <xf numFmtId="0" fontId="31" fillId="0" borderId="29" xfId="0" applyFont="1" applyBorder="1" applyAlignment="1">
      <alignment horizontal="center" vertical="center" wrapText="1"/>
    </xf>
    <xf numFmtId="0" fontId="29" fillId="2" borderId="32" xfId="0" applyFont="1" applyFill="1" applyBorder="1" applyAlignment="1">
      <alignment horizontal="center"/>
    </xf>
    <xf numFmtId="0" fontId="29" fillId="2" borderId="31" xfId="0" applyFont="1" applyFill="1" applyBorder="1" applyAlignment="1">
      <alignment horizontal="center"/>
    </xf>
    <xf numFmtId="49" fontId="31" fillId="0" borderId="30" xfId="0" applyNumberFormat="1" applyFont="1" applyBorder="1" applyAlignment="1">
      <alignment horizontal="center" vertical="center"/>
    </xf>
    <xf numFmtId="49" fontId="31" fillId="0" borderId="31" xfId="0" applyNumberFormat="1" applyFont="1" applyBorder="1" applyAlignment="1">
      <alignment horizontal="center" vertical="center"/>
    </xf>
    <xf numFmtId="0" fontId="39" fillId="0" borderId="37" xfId="0" applyFont="1" applyBorder="1" applyAlignment="1">
      <alignment horizontal="center" vertical="center"/>
    </xf>
    <xf numFmtId="0" fontId="39" fillId="0" borderId="39" xfId="0" applyFont="1" applyBorder="1" applyAlignment="1">
      <alignment horizontal="center" vertical="center"/>
    </xf>
    <xf numFmtId="0" fontId="29" fillId="2" borderId="29" xfId="0" applyFont="1" applyFill="1" applyBorder="1" applyAlignment="1" applyProtection="1">
      <alignment horizontal="center"/>
      <protection hidden="1"/>
    </xf>
    <xf numFmtId="0" fontId="31" fillId="3" borderId="24" xfId="0" applyFont="1" applyFill="1" applyBorder="1" applyAlignment="1">
      <alignment horizontal="center" vertical="center"/>
    </xf>
    <xf numFmtId="0" fontId="31" fillId="3" borderId="0" xfId="0" applyFont="1" applyFill="1" applyAlignment="1">
      <alignment horizontal="center" vertical="center"/>
    </xf>
    <xf numFmtId="0" fontId="31" fillId="3" borderId="38" xfId="0" applyFont="1" applyFill="1" applyBorder="1" applyAlignment="1">
      <alignment horizontal="center" vertical="center"/>
    </xf>
    <xf numFmtId="0" fontId="31" fillId="3" borderId="28" xfId="0" applyFont="1" applyFill="1" applyBorder="1" applyAlignment="1">
      <alignment horizontal="center" vertical="center"/>
    </xf>
    <xf numFmtId="0" fontId="31" fillId="0" borderId="30" xfId="0" applyFont="1" applyBorder="1" applyAlignment="1">
      <alignment horizontal="right" vertical="center"/>
    </xf>
    <xf numFmtId="0" fontId="31" fillId="0" borderId="32" xfId="0" applyFont="1" applyBorder="1" applyAlignment="1">
      <alignment horizontal="right" vertical="center"/>
    </xf>
    <xf numFmtId="0" fontId="31" fillId="0" borderId="31" xfId="0" applyFont="1" applyBorder="1" applyAlignment="1">
      <alignment horizontal="right" vertical="center"/>
    </xf>
    <xf numFmtId="0" fontId="29" fillId="2" borderId="35" xfId="0" applyFont="1" applyFill="1" applyBorder="1" applyAlignment="1">
      <alignment horizontal="center" vertical="center"/>
    </xf>
    <xf numFmtId="49" fontId="31" fillId="0" borderId="30" xfId="0" applyNumberFormat="1" applyFont="1" applyBorder="1" applyAlignment="1">
      <alignment horizontal="center"/>
    </xf>
    <xf numFmtId="49" fontId="31" fillId="0" borderId="31" xfId="0" applyNumberFormat="1" applyFont="1" applyBorder="1" applyAlignment="1">
      <alignment horizontal="center"/>
    </xf>
    <xf numFmtId="0" fontId="31" fillId="0" borderId="39" xfId="0" applyFont="1" applyBorder="1" applyAlignment="1">
      <alignment horizontal="center" vertical="center"/>
    </xf>
    <xf numFmtId="167" fontId="31" fillId="0" borderId="35" xfId="0" applyNumberFormat="1" applyFont="1" applyBorder="1" applyAlignment="1">
      <alignment horizontal="center" vertical="center"/>
    </xf>
    <xf numFmtId="167" fontId="31" fillId="0" borderId="29" xfId="0" applyNumberFormat="1" applyFont="1" applyBorder="1" applyAlignment="1">
      <alignment horizontal="center" vertical="center"/>
    </xf>
    <xf numFmtId="0" fontId="31" fillId="0" borderId="39" xfId="0" applyFont="1" applyBorder="1" applyAlignment="1">
      <alignment horizontal="center" vertical="center" wrapText="1"/>
    </xf>
    <xf numFmtId="0" fontId="39" fillId="0" borderId="34" xfId="0" applyFont="1" applyBorder="1" applyAlignment="1">
      <alignment horizontal="center" vertical="center"/>
    </xf>
    <xf numFmtId="0" fontId="39" fillId="0" borderId="35" xfId="0" applyFont="1" applyBorder="1" applyAlignment="1">
      <alignment horizontal="center" vertical="center"/>
    </xf>
    <xf numFmtId="0" fontId="39" fillId="0" borderId="38" xfId="0" applyFont="1" applyBorder="1" applyAlignment="1">
      <alignment horizontal="center" vertical="center"/>
    </xf>
    <xf numFmtId="0" fontId="39" fillId="0" borderId="29" xfId="0" applyFont="1" applyBorder="1" applyAlignment="1">
      <alignment horizontal="center" vertical="center"/>
    </xf>
    <xf numFmtId="0" fontId="21" fillId="2" borderId="14" xfId="2" applyFont="1" applyFill="1" applyBorder="1" applyAlignment="1">
      <alignment horizontal="left"/>
    </xf>
    <xf numFmtId="0" fontId="21" fillId="2" borderId="9" xfId="2" applyFont="1" applyFill="1" applyBorder="1" applyAlignment="1">
      <alignment horizontal="left"/>
    </xf>
    <xf numFmtId="0" fontId="21" fillId="2" borderId="50" xfId="2" applyFont="1" applyFill="1" applyBorder="1" applyAlignment="1">
      <alignment horizontal="left"/>
    </xf>
    <xf numFmtId="0" fontId="21" fillId="0" borderId="16" xfId="0" applyFont="1" applyBorder="1" applyAlignment="1">
      <alignment horizontal="left" vertical="center"/>
    </xf>
    <xf numFmtId="0" fontId="21" fillId="0" borderId="17" xfId="0" applyFont="1" applyBorder="1" applyAlignment="1">
      <alignment horizontal="left" vertical="center"/>
    </xf>
    <xf numFmtId="0" fontId="21" fillId="0" borderId="78" xfId="0" applyFont="1" applyBorder="1" applyAlignment="1">
      <alignment horizontal="left" vertical="center"/>
    </xf>
    <xf numFmtId="0" fontId="21" fillId="0" borderId="52" xfId="0" applyFont="1" applyBorder="1" applyAlignment="1" applyProtection="1">
      <alignment horizontal="left" vertical="center"/>
      <protection hidden="1"/>
    </xf>
    <xf numFmtId="0" fontId="21" fillId="0" borderId="9" xfId="0" applyFont="1" applyBorder="1" applyAlignment="1" applyProtection="1">
      <alignment horizontal="left" vertical="center"/>
      <protection hidden="1"/>
    </xf>
    <xf numFmtId="172" fontId="21" fillId="0" borderId="9" xfId="0" applyNumberFormat="1" applyFont="1" applyBorder="1" applyAlignment="1">
      <alignment horizontal="left" vertical="center"/>
    </xf>
    <xf numFmtId="172" fontId="21" fillId="0" borderId="15" xfId="0" applyNumberFormat="1" applyFont="1" applyBorder="1" applyAlignment="1">
      <alignment horizontal="left" vertical="center"/>
    </xf>
    <xf numFmtId="0" fontId="21" fillId="0" borderId="7" xfId="0" applyFont="1" applyBorder="1" applyAlignment="1">
      <alignment horizontal="left"/>
    </xf>
    <xf numFmtId="0" fontId="22" fillId="0" borderId="16" xfId="0" applyFont="1" applyBorder="1" applyAlignment="1">
      <alignment horizontal="left"/>
    </xf>
    <xf numFmtId="0" fontId="22" fillId="0" borderId="17" xfId="0" applyFont="1" applyBorder="1" applyAlignment="1">
      <alignment horizontal="left"/>
    </xf>
    <xf numFmtId="0" fontId="22" fillId="0" borderId="20" xfId="0" applyFont="1" applyBorder="1" applyAlignment="1">
      <alignment horizontal="left"/>
    </xf>
    <xf numFmtId="0" fontId="21" fillId="0" borderId="27" xfId="0" applyFont="1" applyBorder="1" applyAlignment="1">
      <alignment horizontal="left"/>
    </xf>
    <xf numFmtId="0" fontId="21" fillId="0" borderId="28" xfId="0" applyFont="1" applyBorder="1" applyAlignment="1">
      <alignment horizontal="left"/>
    </xf>
    <xf numFmtId="0" fontId="21" fillId="0" borderId="29" xfId="0" applyFont="1" applyBorder="1" applyAlignment="1">
      <alignment horizontal="left"/>
    </xf>
    <xf numFmtId="0" fontId="9" fillId="0" borderId="28" xfId="2" applyFont="1" applyBorder="1" applyAlignment="1">
      <alignment horizontal="center" vertical="center" wrapText="1"/>
    </xf>
    <xf numFmtId="0" fontId="18" fillId="0" borderId="57" xfId="2" applyFont="1" applyBorder="1" applyAlignment="1">
      <alignment horizontal="left"/>
    </xf>
    <xf numFmtId="0" fontId="18" fillId="0" borderId="12" xfId="2" applyFont="1" applyBorder="1" applyAlignment="1">
      <alignment horizontal="left"/>
    </xf>
    <xf numFmtId="0" fontId="18" fillId="0" borderId="48" xfId="2" applyFont="1" applyBorder="1" applyAlignment="1">
      <alignment horizontal="center" vertical="center"/>
    </xf>
    <xf numFmtId="0" fontId="18" fillId="0" borderId="11" xfId="2" applyFont="1" applyBorder="1" applyAlignment="1">
      <alignment horizontal="center" vertical="center"/>
    </xf>
    <xf numFmtId="0" fontId="18" fillId="0" borderId="41" xfId="2" applyFont="1" applyBorder="1" applyAlignment="1">
      <alignment horizontal="center" vertical="center"/>
    </xf>
    <xf numFmtId="0" fontId="54" fillId="0" borderId="0" xfId="0" applyFont="1" applyAlignment="1">
      <alignment horizontal="center" vertical="center" wrapText="1"/>
    </xf>
    <xf numFmtId="0" fontId="54" fillId="0" borderId="20" xfId="0" applyFont="1" applyBorder="1" applyAlignment="1">
      <alignment horizontal="center" vertical="center" wrapText="1"/>
    </xf>
    <xf numFmtId="0" fontId="18" fillId="0" borderId="58" xfId="2" applyFont="1" applyBorder="1" applyAlignment="1">
      <alignment horizontal="left"/>
    </xf>
    <xf numFmtId="0" fontId="18" fillId="0" borderId="51" xfId="2" applyFont="1" applyBorder="1" applyAlignment="1">
      <alignment horizontal="left"/>
    </xf>
    <xf numFmtId="0" fontId="18" fillId="7" borderId="51" xfId="2" applyFont="1" applyFill="1" applyBorder="1" applyAlignment="1" applyProtection="1">
      <alignment horizontal="center" vertical="center"/>
      <protection locked="0"/>
    </xf>
    <xf numFmtId="0" fontId="18" fillId="7" borderId="59" xfId="2" applyFont="1" applyFill="1" applyBorder="1" applyAlignment="1" applyProtection="1">
      <alignment horizontal="center" vertical="center"/>
      <protection locked="0"/>
    </xf>
    <xf numFmtId="164" fontId="84" fillId="0" borderId="0" xfId="0" applyNumberFormat="1" applyFont="1" applyAlignment="1">
      <alignment horizontal="center" vertical="center" wrapText="1"/>
    </xf>
    <xf numFmtId="164" fontId="84" fillId="0" borderId="20" xfId="0" applyNumberFormat="1" applyFont="1" applyBorder="1" applyAlignment="1">
      <alignment horizontal="center" vertical="center" wrapText="1"/>
    </xf>
    <xf numFmtId="0" fontId="18" fillId="0" borderId="51" xfId="2" applyFont="1" applyBorder="1" applyAlignment="1">
      <alignment horizontal="center" vertical="center"/>
    </xf>
    <xf numFmtId="0" fontId="18" fillId="0" borderId="59" xfId="2" applyFont="1" applyBorder="1" applyAlignment="1">
      <alignment horizontal="center" vertical="center"/>
    </xf>
    <xf numFmtId="172" fontId="10" fillId="0" borderId="0" xfId="0" applyNumberFormat="1" applyFont="1" applyAlignment="1">
      <alignment horizontal="center" vertical="center" wrapText="1"/>
    </xf>
    <xf numFmtId="172" fontId="10" fillId="0" borderId="20" xfId="0" applyNumberFormat="1" applyFont="1" applyBorder="1" applyAlignment="1">
      <alignment horizontal="center" vertical="center" wrapText="1"/>
    </xf>
    <xf numFmtId="0" fontId="18" fillId="0" borderId="21" xfId="2" applyFont="1" applyBorder="1" applyAlignment="1">
      <alignment horizontal="left"/>
    </xf>
    <xf numFmtId="0" fontId="18" fillId="0" borderId="22" xfId="2" applyFont="1" applyBorder="1" applyAlignment="1">
      <alignment horizontal="left"/>
    </xf>
    <xf numFmtId="0" fontId="18" fillId="0" borderId="22" xfId="2" applyFont="1" applyBorder="1" applyAlignment="1">
      <alignment horizontal="center" vertical="center"/>
    </xf>
    <xf numFmtId="0" fontId="18" fillId="0" borderId="64" xfId="2" applyFont="1" applyBorder="1" applyAlignment="1">
      <alignment horizontal="center" vertical="center"/>
    </xf>
    <xf numFmtId="0" fontId="18" fillId="0" borderId="57" xfId="2" applyFont="1" applyBorder="1" applyAlignment="1">
      <alignment horizontal="center" vertical="center"/>
    </xf>
    <xf numFmtId="0" fontId="18" fillId="0" borderId="12" xfId="2" applyFont="1" applyBorder="1" applyAlignment="1">
      <alignment horizontal="center" vertical="center"/>
    </xf>
    <xf numFmtId="0" fontId="18" fillId="0" borderId="13" xfId="2" applyFont="1" applyBorder="1" applyAlignment="1">
      <alignment horizontal="center" vertical="center"/>
    </xf>
    <xf numFmtId="0" fontId="18" fillId="0" borderId="58" xfId="2" applyFont="1" applyBorder="1" applyAlignment="1">
      <alignment horizontal="center" vertical="center"/>
    </xf>
    <xf numFmtId="0" fontId="18" fillId="0" borderId="69" xfId="2" applyFont="1" applyBorder="1" applyAlignment="1">
      <alignment horizontal="center" vertical="center"/>
    </xf>
    <xf numFmtId="0" fontId="18" fillId="0" borderId="70" xfId="2" applyFont="1" applyBorder="1" applyAlignment="1">
      <alignment horizontal="center" vertical="center"/>
    </xf>
    <xf numFmtId="0" fontId="18" fillId="0" borderId="71" xfId="2" applyFont="1" applyBorder="1" applyAlignment="1">
      <alignment horizontal="center" vertical="center"/>
    </xf>
    <xf numFmtId="2" fontId="18" fillId="7" borderId="6" xfId="2" applyNumberFormat="1" applyFont="1" applyFill="1" applyBorder="1" applyAlignment="1" applyProtection="1">
      <alignment horizontal="center" vertical="center"/>
      <protection locked="0"/>
    </xf>
    <xf numFmtId="2" fontId="18" fillId="7" borderId="8" xfId="2" applyNumberFormat="1" applyFont="1" applyFill="1" applyBorder="1" applyAlignment="1" applyProtection="1">
      <alignment horizontal="center" vertical="center"/>
      <protection locked="0"/>
    </xf>
    <xf numFmtId="2" fontId="18" fillId="7" borderId="23" xfId="2" applyNumberFormat="1" applyFont="1" applyFill="1" applyBorder="1" applyAlignment="1" applyProtection="1">
      <alignment horizontal="center" vertical="center"/>
      <protection locked="0"/>
    </xf>
    <xf numFmtId="2" fontId="18" fillId="7" borderId="52" xfId="2" applyNumberFormat="1" applyFont="1" applyFill="1" applyBorder="1" applyAlignment="1" applyProtection="1">
      <alignment horizontal="center" vertical="center"/>
      <protection locked="0"/>
    </xf>
    <xf numFmtId="2" fontId="18" fillId="7" borderId="50" xfId="2" applyNumberFormat="1" applyFont="1" applyFill="1" applyBorder="1" applyAlignment="1" applyProtection="1">
      <alignment horizontal="center" vertical="center"/>
      <protection locked="0"/>
    </xf>
    <xf numFmtId="2" fontId="18" fillId="0" borderId="52" xfId="2" applyNumberFormat="1" applyFont="1" applyBorder="1" applyAlignment="1">
      <alignment horizontal="center" vertical="center"/>
    </xf>
    <xf numFmtId="2" fontId="18" fillId="0" borderId="50" xfId="2" applyNumberFormat="1" applyFont="1" applyBorder="1" applyAlignment="1">
      <alignment horizontal="center" vertical="center"/>
    </xf>
    <xf numFmtId="0" fontId="18" fillId="0" borderId="50" xfId="2" applyFont="1" applyBorder="1" applyAlignment="1">
      <alignment horizontal="center" vertical="center"/>
    </xf>
    <xf numFmtId="171" fontId="18" fillId="7" borderId="52" xfId="2" applyNumberFormat="1" applyFont="1" applyFill="1" applyBorder="1" applyAlignment="1" applyProtection="1">
      <alignment horizontal="center" vertical="center"/>
      <protection locked="0"/>
    </xf>
    <xf numFmtId="171" fontId="18" fillId="7" borderId="50" xfId="2" applyNumberFormat="1" applyFont="1" applyFill="1" applyBorder="1" applyAlignment="1" applyProtection="1">
      <alignment horizontal="center" vertical="center"/>
      <protection locked="0"/>
    </xf>
    <xf numFmtId="171" fontId="18" fillId="0" borderId="52" xfId="2" applyNumberFormat="1" applyFont="1" applyBorder="1" applyAlignment="1">
      <alignment horizontal="center" vertical="center"/>
    </xf>
    <xf numFmtId="164" fontId="18" fillId="0" borderId="52" xfId="2" applyNumberFormat="1" applyFont="1" applyBorder="1" applyAlignment="1">
      <alignment horizontal="center" vertical="center"/>
    </xf>
    <xf numFmtId="164" fontId="18" fillId="0" borderId="50" xfId="2" applyNumberFormat="1" applyFont="1" applyBorder="1" applyAlignment="1">
      <alignment horizontal="center" vertical="center"/>
    </xf>
    <xf numFmtId="164" fontId="18" fillId="0" borderId="15" xfId="2" applyNumberFormat="1" applyFont="1" applyBorder="1" applyAlignment="1">
      <alignment horizontal="center" vertical="center"/>
    </xf>
    <xf numFmtId="0" fontId="18" fillId="0" borderId="34" xfId="2" applyFont="1" applyBorder="1" applyAlignment="1">
      <alignment horizontal="right"/>
    </xf>
    <xf numFmtId="0" fontId="18" fillId="0" borderId="42" xfId="2" applyFont="1" applyBorder="1" applyAlignment="1">
      <alignment horizontal="right"/>
    </xf>
    <xf numFmtId="0" fontId="60" fillId="0" borderId="38" xfId="2" applyFont="1" applyBorder="1" applyAlignment="1">
      <alignment horizontal="center"/>
    </xf>
    <xf numFmtId="0" fontId="60" fillId="0" borderId="28" xfId="2" applyFont="1" applyBorder="1" applyAlignment="1">
      <alignment horizontal="center"/>
    </xf>
    <xf numFmtId="0" fontId="18" fillId="0" borderId="34" xfId="2" applyFont="1" applyBorder="1" applyAlignment="1">
      <alignment horizontal="center" vertical="center"/>
    </xf>
    <xf numFmtId="0" fontId="18" fillId="0" borderId="42" xfId="2" applyFont="1" applyBorder="1" applyAlignment="1">
      <alignment horizontal="center" vertical="center"/>
    </xf>
    <xf numFmtId="0" fontId="18" fillId="0" borderId="24" xfId="2" applyFont="1" applyBorder="1" applyAlignment="1">
      <alignment horizontal="center" vertical="center"/>
    </xf>
    <xf numFmtId="0" fontId="18" fillId="0" borderId="0" xfId="2" applyFont="1" applyAlignment="1">
      <alignment horizontal="center" vertical="center"/>
    </xf>
    <xf numFmtId="0" fontId="60" fillId="0" borderId="38" xfId="2" applyFont="1" applyBorder="1" applyAlignment="1">
      <alignment horizontal="center" vertical="top"/>
    </xf>
    <xf numFmtId="0" fontId="60" fillId="0" borderId="28" xfId="2" applyFont="1" applyBorder="1" applyAlignment="1">
      <alignment horizontal="center" vertical="top"/>
    </xf>
    <xf numFmtId="168" fontId="18" fillId="0" borderId="52" xfId="2" applyNumberFormat="1" applyFont="1" applyBorder="1" applyAlignment="1">
      <alignment horizontal="center" vertical="center"/>
    </xf>
    <xf numFmtId="168" fontId="18" fillId="0" borderId="50" xfId="2" applyNumberFormat="1" applyFont="1" applyBorder="1" applyAlignment="1">
      <alignment horizontal="center" vertical="center"/>
    </xf>
    <xf numFmtId="0" fontId="18" fillId="0" borderId="15" xfId="2" applyFont="1" applyBorder="1" applyAlignment="1">
      <alignment horizontal="center" vertical="center"/>
    </xf>
    <xf numFmtId="1" fontId="18" fillId="0" borderId="56" xfId="2" applyNumberFormat="1" applyFont="1" applyBorder="1" applyAlignment="1">
      <alignment horizontal="center" vertical="center"/>
    </xf>
    <xf numFmtId="1" fontId="18" fillId="0" borderId="54" xfId="2" applyNumberFormat="1" applyFont="1" applyBorder="1" applyAlignment="1">
      <alignment horizontal="center" vertical="center"/>
    </xf>
    <xf numFmtId="1" fontId="18" fillId="0" borderId="45" xfId="2" applyNumberFormat="1" applyFont="1" applyBorder="1" applyAlignment="1">
      <alignment horizontal="center" vertical="center"/>
    </xf>
    <xf numFmtId="0" fontId="20" fillId="2" borderId="11" xfId="2" applyFont="1" applyFill="1" applyBorder="1" applyAlignment="1">
      <alignment horizontal="right" vertical="center"/>
    </xf>
    <xf numFmtId="0" fontId="20" fillId="2" borderId="41" xfId="2" applyFont="1" applyFill="1" applyBorder="1" applyAlignment="1">
      <alignment horizontal="right" vertical="center"/>
    </xf>
    <xf numFmtId="0" fontId="21" fillId="2" borderId="10" xfId="2" applyFont="1" applyFill="1" applyBorder="1" applyAlignment="1">
      <alignment horizontal="left" vertical="center"/>
    </xf>
    <xf numFmtId="0" fontId="21" fillId="2" borderId="11" xfId="2" applyFont="1" applyFill="1" applyBorder="1" applyAlignment="1">
      <alignment horizontal="left" vertical="center"/>
    </xf>
    <xf numFmtId="0" fontId="18" fillId="0" borderId="24" xfId="2" applyFont="1" applyBorder="1" applyAlignment="1">
      <alignment horizontal="left" vertical="center"/>
    </xf>
    <xf numFmtId="0" fontId="18" fillId="0" borderId="0" xfId="2" applyFont="1" applyAlignment="1">
      <alignment horizontal="left" vertical="center"/>
    </xf>
    <xf numFmtId="0" fontId="18" fillId="0" borderId="20" xfId="2" applyFont="1" applyBorder="1" applyAlignment="1">
      <alignment horizontal="left" vertical="center"/>
    </xf>
    <xf numFmtId="0" fontId="18" fillId="0" borderId="34" xfId="2" applyFont="1" applyBorder="1" applyAlignment="1">
      <alignment horizontal="center"/>
    </xf>
    <xf numFmtId="0" fontId="18" fillId="0" borderId="42" xfId="2" applyFont="1" applyBorder="1" applyAlignment="1">
      <alignment horizontal="center"/>
    </xf>
    <xf numFmtId="0" fontId="18" fillId="0" borderId="11" xfId="2" applyFont="1" applyBorder="1" applyAlignment="1">
      <alignment horizontal="center"/>
    </xf>
    <xf numFmtId="1" fontId="21" fillId="0" borderId="34" xfId="2" applyNumberFormat="1" applyFont="1" applyBorder="1" applyAlignment="1">
      <alignment horizontal="center" vertical="center"/>
    </xf>
    <xf numFmtId="1" fontId="21" fillId="0" borderId="35" xfId="2" applyNumberFormat="1" applyFont="1" applyBorder="1" applyAlignment="1">
      <alignment horizontal="center" vertical="center"/>
    </xf>
    <xf numFmtId="1" fontId="21" fillId="0" borderId="38" xfId="2" applyNumberFormat="1" applyFont="1" applyBorder="1" applyAlignment="1">
      <alignment horizontal="center" vertical="center"/>
    </xf>
    <xf numFmtId="1" fontId="21" fillId="0" borderId="29" xfId="2" applyNumberFormat="1" applyFont="1" applyBorder="1" applyAlignment="1">
      <alignment horizontal="center" vertical="center"/>
    </xf>
    <xf numFmtId="0" fontId="18" fillId="0" borderId="28" xfId="2" applyFont="1" applyBorder="1" applyAlignment="1">
      <alignment horizontal="center"/>
    </xf>
    <xf numFmtId="0" fontId="18" fillId="0" borderId="38" xfId="2" applyFont="1" applyBorder="1" applyAlignment="1">
      <alignment horizontal="right"/>
    </xf>
    <xf numFmtId="0" fontId="18" fillId="0" borderId="28" xfId="2" applyFont="1" applyBorder="1" applyAlignment="1">
      <alignment horizontal="right"/>
    </xf>
    <xf numFmtId="0" fontId="18" fillId="0" borderId="28" xfId="2" applyFont="1" applyBorder="1" applyAlignment="1">
      <alignment horizontal="center" vertical="center"/>
    </xf>
    <xf numFmtId="168" fontId="21" fillId="0" borderId="34" xfId="2" applyNumberFormat="1" applyFont="1" applyBorder="1" applyAlignment="1">
      <alignment horizontal="center" vertical="center"/>
    </xf>
    <xf numFmtId="168" fontId="21" fillId="0" borderId="42" xfId="2" applyNumberFormat="1" applyFont="1" applyBorder="1" applyAlignment="1">
      <alignment horizontal="center" vertical="center"/>
    </xf>
    <xf numFmtId="168" fontId="21" fillId="0" borderId="35" xfId="2" applyNumberFormat="1" applyFont="1" applyBorder="1" applyAlignment="1">
      <alignment horizontal="center" vertical="center"/>
    </xf>
    <xf numFmtId="168" fontId="21" fillId="0" borderId="24" xfId="2" applyNumberFormat="1" applyFont="1" applyBorder="1" applyAlignment="1">
      <alignment horizontal="center" vertical="center"/>
    </xf>
    <xf numFmtId="168" fontId="21" fillId="0" borderId="0" xfId="2" applyNumberFormat="1" applyFont="1" applyAlignment="1">
      <alignment horizontal="center" vertical="center"/>
    </xf>
    <xf numFmtId="168" fontId="21" fillId="0" borderId="20" xfId="2" applyNumberFormat="1" applyFont="1" applyBorder="1" applyAlignment="1">
      <alignment horizontal="center" vertical="center"/>
    </xf>
    <xf numFmtId="168" fontId="21" fillId="0" borderId="38" xfId="2" applyNumberFormat="1" applyFont="1" applyBorder="1" applyAlignment="1">
      <alignment horizontal="center" vertical="center"/>
    </xf>
    <xf numFmtId="168" fontId="21" fillId="0" borderId="28" xfId="2" applyNumberFormat="1" applyFont="1" applyBorder="1" applyAlignment="1">
      <alignment horizontal="center" vertical="center"/>
    </xf>
    <xf numFmtId="168" fontId="21" fillId="0" borderId="29" xfId="2" applyNumberFormat="1" applyFont="1" applyBorder="1" applyAlignment="1">
      <alignment horizontal="center" vertical="center"/>
    </xf>
    <xf numFmtId="0" fontId="60" fillId="0" borderId="24" xfId="2" applyFont="1" applyBorder="1" applyAlignment="1">
      <alignment horizontal="center" vertical="top"/>
    </xf>
    <xf numFmtId="0" fontId="60" fillId="0" borderId="0" xfId="2" applyFont="1" applyAlignment="1">
      <alignment horizontal="center" vertical="top"/>
    </xf>
    <xf numFmtId="0" fontId="18" fillId="0" borderId="24" xfId="2" applyFont="1" applyBorder="1" applyAlignment="1">
      <alignment horizontal="right"/>
    </xf>
    <xf numFmtId="0" fontId="18" fillId="0" borderId="0" xfId="2" applyFont="1" applyAlignment="1">
      <alignment horizontal="right"/>
    </xf>
    <xf numFmtId="0" fontId="18" fillId="0" borderId="60" xfId="2" applyFont="1" applyBorder="1" applyAlignment="1">
      <alignment horizontal="center" vertical="center"/>
    </xf>
    <xf numFmtId="0" fontId="18" fillId="0" borderId="55" xfId="2" applyFont="1" applyBorder="1" applyAlignment="1">
      <alignment horizontal="center" vertical="center"/>
    </xf>
    <xf numFmtId="0" fontId="18" fillId="0" borderId="61" xfId="2" applyFont="1" applyBorder="1" applyAlignment="1">
      <alignment horizontal="center" vertical="center"/>
    </xf>
    <xf numFmtId="0" fontId="18" fillId="0" borderId="57" xfId="2" applyFont="1" applyBorder="1" applyAlignment="1">
      <alignment horizontal="left" vertical="center"/>
    </xf>
    <xf numFmtId="0" fontId="18" fillId="0" borderId="48" xfId="2" applyFont="1" applyBorder="1" applyAlignment="1">
      <alignment horizontal="left" vertical="center"/>
    </xf>
    <xf numFmtId="0" fontId="18" fillId="0" borderId="58" xfId="2" applyFont="1" applyBorder="1" applyAlignment="1">
      <alignment horizontal="left" vertical="center"/>
    </xf>
    <xf numFmtId="0" fontId="18" fillId="0" borderId="52" xfId="2" applyFont="1" applyBorder="1" applyAlignment="1">
      <alignment horizontal="left" vertical="center"/>
    </xf>
    <xf numFmtId="0" fontId="18" fillId="0" borderId="60" xfId="2" applyFont="1" applyBorder="1" applyAlignment="1">
      <alignment horizontal="left" vertical="center"/>
    </xf>
    <xf numFmtId="0" fontId="18" fillId="0" borderId="56" xfId="2" applyFont="1" applyBorder="1" applyAlignment="1">
      <alignment horizontal="left" vertical="center"/>
    </xf>
    <xf numFmtId="0" fontId="0" fillId="0" borderId="68" xfId="0" applyBorder="1" applyAlignment="1">
      <alignment horizontal="center" vertical="center"/>
    </xf>
    <xf numFmtId="0" fontId="0" fillId="0" borderId="59" xfId="0" applyBorder="1" applyAlignment="1">
      <alignment horizontal="center" vertical="center"/>
    </xf>
    <xf numFmtId="0" fontId="0" fillId="0" borderId="67" xfId="0" applyBorder="1" applyAlignment="1">
      <alignment horizontal="center" vertical="center"/>
    </xf>
    <xf numFmtId="0" fontId="0" fillId="0" borderId="63" xfId="0" applyBorder="1" applyAlignment="1">
      <alignment horizontal="center" vertical="center"/>
    </xf>
    <xf numFmtId="0" fontId="0" fillId="0" borderId="70" xfId="0" applyBorder="1" applyAlignment="1">
      <alignment horizontal="center" vertical="center"/>
    </xf>
    <xf numFmtId="0" fontId="39" fillId="0" borderId="30" xfId="0" applyFont="1" applyBorder="1" applyAlignment="1">
      <alignment horizontal="right"/>
    </xf>
    <xf numFmtId="0" fontId="39" fillId="0" borderId="32" xfId="0" applyFont="1" applyBorder="1" applyAlignment="1">
      <alignment horizontal="right"/>
    </xf>
    <xf numFmtId="0" fontId="39" fillId="0" borderId="31" xfId="0" applyFont="1" applyBorder="1" applyAlignment="1">
      <alignment horizontal="right"/>
    </xf>
    <xf numFmtId="0" fontId="31" fillId="0" borderId="42" xfId="0" applyFont="1" applyBorder="1" applyAlignment="1">
      <alignment horizontal="center" vertical="center" wrapText="1"/>
    </xf>
    <xf numFmtId="0" fontId="31" fillId="0" borderId="24" xfId="0" applyFont="1" applyBorder="1" applyAlignment="1">
      <alignment horizontal="center" vertical="center"/>
    </xf>
    <xf numFmtId="1" fontId="31" fillId="0" borderId="38" xfId="0" quotePrefix="1" applyNumberFormat="1" applyFont="1" applyBorder="1" applyAlignment="1">
      <alignment horizontal="center" vertical="center"/>
    </xf>
    <xf numFmtId="1" fontId="31" fillId="0" borderId="29" xfId="0" quotePrefix="1" applyNumberFormat="1" applyFont="1" applyBorder="1" applyAlignment="1">
      <alignment horizontal="center" vertical="center"/>
    </xf>
    <xf numFmtId="0" fontId="29" fillId="2" borderId="30" xfId="0" applyFont="1" applyFill="1" applyBorder="1" applyAlignment="1">
      <alignment horizontal="left" vertical="center"/>
    </xf>
    <xf numFmtId="0" fontId="29" fillId="2" borderId="32" xfId="0" applyFont="1" applyFill="1" applyBorder="1" applyAlignment="1">
      <alignment horizontal="left" vertical="center"/>
    </xf>
    <xf numFmtId="0" fontId="32" fillId="2" borderId="32" xfId="0" applyFont="1" applyFill="1" applyBorder="1" applyAlignment="1">
      <alignment horizontal="right" vertical="center"/>
    </xf>
    <xf numFmtId="0" fontId="32" fillId="2" borderId="31" xfId="0" applyFont="1" applyFill="1" applyBorder="1" applyAlignment="1">
      <alignment horizontal="right" vertical="center"/>
    </xf>
    <xf numFmtId="0" fontId="39" fillId="0" borderId="38" xfId="0" applyFont="1" applyBorder="1" applyAlignment="1">
      <alignment horizontal="center"/>
    </xf>
    <xf numFmtId="0" fontId="39" fillId="0" borderId="29" xfId="0" applyFont="1" applyBorder="1" applyAlignment="1">
      <alignment horizontal="center"/>
    </xf>
    <xf numFmtId="0" fontId="31" fillId="0" borderId="37" xfId="0" applyFont="1" applyBorder="1" applyAlignment="1" applyProtection="1">
      <alignment horizontal="center" vertical="center"/>
      <protection hidden="1"/>
    </xf>
    <xf numFmtId="0" fontId="31" fillId="0" borderId="39" xfId="0" applyFont="1" applyBorder="1" applyAlignment="1" applyProtection="1">
      <alignment horizontal="center" vertical="center"/>
      <protection hidden="1"/>
    </xf>
    <xf numFmtId="0" fontId="47" fillId="2" borderId="30" xfId="0" applyFont="1" applyFill="1" applyBorder="1" applyAlignment="1">
      <alignment horizontal="center" vertical="center"/>
    </xf>
    <xf numFmtId="0" fontId="47" fillId="2" borderId="32" xfId="0" applyFont="1" applyFill="1" applyBorder="1" applyAlignment="1">
      <alignment horizontal="center" vertical="center"/>
    </xf>
    <xf numFmtId="0" fontId="47" fillId="2" borderId="31" xfId="0" applyFont="1" applyFill="1" applyBorder="1" applyAlignment="1">
      <alignment horizontal="center" vertical="center"/>
    </xf>
    <xf numFmtId="0" fontId="18" fillId="0" borderId="34" xfId="0" applyFont="1" applyBorder="1" applyAlignment="1">
      <alignment horizontal="center" vertical="center"/>
    </xf>
    <xf numFmtId="0" fontId="18" fillId="0" borderId="24" xfId="0" applyFont="1" applyBorder="1" applyAlignment="1">
      <alignment horizontal="center" vertical="center"/>
    </xf>
    <xf numFmtId="0" fontId="18" fillId="0" borderId="38" xfId="0" applyFont="1" applyBorder="1" applyAlignment="1">
      <alignment horizontal="center" vertical="center"/>
    </xf>
    <xf numFmtId="0" fontId="18" fillId="0" borderId="37" xfId="0" applyFont="1" applyBorder="1" applyAlignment="1">
      <alignment horizontal="center" vertical="center"/>
    </xf>
    <xf numFmtId="0" fontId="18" fillId="0" borderId="36" xfId="0" applyFont="1" applyBorder="1" applyAlignment="1">
      <alignment horizontal="center" vertical="center"/>
    </xf>
    <xf numFmtId="0" fontId="18" fillId="0" borderId="39" xfId="0" applyFont="1" applyBorder="1" applyAlignment="1">
      <alignment horizontal="center" vertical="center"/>
    </xf>
    <xf numFmtId="0" fontId="18" fillId="0" borderId="30" xfId="0" applyFont="1" applyBorder="1" applyAlignment="1">
      <alignment horizontal="center"/>
    </xf>
    <xf numFmtId="0" fontId="18" fillId="0" borderId="31" xfId="0" applyFont="1" applyBorder="1" applyAlignment="1">
      <alignment horizontal="center"/>
    </xf>
    <xf numFmtId="0" fontId="21" fillId="5" borderId="30" xfId="0" applyFont="1" applyFill="1" applyBorder="1" applyAlignment="1">
      <alignment horizontal="center"/>
    </xf>
    <xf numFmtId="0" fontId="21" fillId="5" borderId="32" xfId="0" applyFont="1" applyFill="1" applyBorder="1" applyAlignment="1">
      <alignment horizontal="center"/>
    </xf>
    <xf numFmtId="0" fontId="21" fillId="5" borderId="31" xfId="0" applyFont="1" applyFill="1" applyBorder="1" applyAlignment="1">
      <alignment horizontal="center"/>
    </xf>
    <xf numFmtId="0" fontId="18" fillId="0" borderId="30" xfId="0" applyFont="1" applyBorder="1" applyAlignment="1">
      <alignment horizontal="left" vertical="center" wrapText="1"/>
    </xf>
    <xf numFmtId="0" fontId="18" fillId="0" borderId="32" xfId="0" applyFont="1" applyBorder="1" applyAlignment="1">
      <alignment horizontal="left" vertical="center" wrapText="1"/>
    </xf>
    <xf numFmtId="0" fontId="18" fillId="0" borderId="31" xfId="0" applyFont="1" applyBorder="1" applyAlignment="1">
      <alignment horizontal="left" vertical="center" wrapText="1"/>
    </xf>
    <xf numFmtId="0" fontId="53" fillId="0" borderId="0" xfId="0" applyFont="1" applyAlignment="1">
      <alignment horizontal="center" vertical="center" wrapText="1"/>
    </xf>
    <xf numFmtId="164" fontId="89" fillId="0" borderId="0" xfId="0" applyNumberFormat="1" applyFont="1" applyAlignment="1">
      <alignment horizontal="center" vertical="center" wrapText="1"/>
    </xf>
    <xf numFmtId="0" fontId="18" fillId="0" borderId="24" xfId="0" applyFont="1" applyBorder="1" applyAlignment="1">
      <alignment horizontal="center"/>
    </xf>
    <xf numFmtId="0" fontId="18" fillId="0" borderId="0" xfId="0" applyFont="1" applyAlignment="1">
      <alignment horizontal="center"/>
    </xf>
    <xf numFmtId="0" fontId="93" fillId="0" borderId="0" xfId="0" applyFont="1" applyAlignment="1">
      <alignment horizontal="center" vertical="center" wrapText="1"/>
    </xf>
    <xf numFmtId="0" fontId="2" fillId="0" borderId="0" xfId="0" applyFont="1" applyAlignment="1">
      <alignment horizontal="center"/>
    </xf>
    <xf numFmtId="0" fontId="2" fillId="0" borderId="57"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58" xfId="0" applyFont="1" applyBorder="1" applyAlignment="1">
      <alignment horizontal="center" vertical="center" wrapText="1"/>
    </xf>
    <xf numFmtId="0" fontId="2" fillId="0" borderId="51" xfId="0" applyFont="1" applyBorder="1" applyAlignment="1">
      <alignment horizontal="center" vertical="center" wrapText="1"/>
    </xf>
    <xf numFmtId="0" fontId="2" fillId="0" borderId="51" xfId="0" applyFont="1" applyBorder="1" applyAlignment="1">
      <alignment horizontal="center" wrapText="1"/>
    </xf>
    <xf numFmtId="0" fontId="2" fillId="0" borderId="59" xfId="0" applyFont="1" applyBorder="1" applyAlignment="1">
      <alignment horizontal="center" wrapText="1"/>
    </xf>
    <xf numFmtId="0" fontId="2" fillId="0" borderId="30" xfId="0" applyFont="1" applyBorder="1" applyAlignment="1">
      <alignment horizontal="center" vertical="center"/>
    </xf>
    <xf numFmtId="0" fontId="2" fillId="0" borderId="32" xfId="0" applyFont="1" applyBorder="1" applyAlignment="1">
      <alignment horizontal="center" vertical="center"/>
    </xf>
    <xf numFmtId="0" fontId="2" fillId="0" borderId="31" xfId="0" applyFont="1" applyBorder="1" applyAlignment="1">
      <alignment horizontal="center" vertical="center"/>
    </xf>
    <xf numFmtId="0" fontId="2" fillId="0" borderId="51" xfId="0" applyFont="1" applyBorder="1" applyAlignment="1">
      <alignment horizontal="center"/>
    </xf>
    <xf numFmtId="0" fontId="2" fillId="0" borderId="0" xfId="0" applyFont="1" applyAlignment="1">
      <alignment horizontal="center" wrapText="1"/>
    </xf>
    <xf numFmtId="0" fontId="2" fillId="0" borderId="0" xfId="0" applyFont="1" applyAlignment="1">
      <alignment horizontal="center" vertical="center" wrapText="1"/>
    </xf>
    <xf numFmtId="0" fontId="2" fillId="0" borderId="0" xfId="0" applyFont="1" applyAlignment="1">
      <alignment horizontal="right" vertical="center"/>
    </xf>
    <xf numFmtId="0" fontId="15" fillId="4" borderId="0" xfId="0" applyFont="1" applyFill="1" applyAlignment="1">
      <alignment horizontal="center" wrapText="1"/>
    </xf>
    <xf numFmtId="0" fontId="2" fillId="0" borderId="0" xfId="0" applyFont="1" applyAlignment="1">
      <alignment horizontal="center" vertical="center"/>
    </xf>
    <xf numFmtId="0" fontId="2" fillId="0" borderId="4" xfId="0" applyFont="1" applyBorder="1" applyAlignment="1">
      <alignment horizontal="center"/>
    </xf>
    <xf numFmtId="0" fontId="10" fillId="0" borderId="24" xfId="0" applyFont="1" applyBorder="1" applyAlignment="1">
      <alignment horizontal="left" vertical="center" wrapText="1"/>
    </xf>
    <xf numFmtId="0" fontId="10" fillId="0" borderId="20" xfId="0" applyFont="1" applyBorder="1" applyAlignment="1">
      <alignment horizontal="left" vertical="center" wrapText="1"/>
    </xf>
    <xf numFmtId="0" fontId="10" fillId="0" borderId="38" xfId="0" applyFont="1" applyBorder="1" applyAlignment="1">
      <alignment horizontal="left" vertical="center" wrapText="1"/>
    </xf>
    <xf numFmtId="0" fontId="10" fillId="0" borderId="29" xfId="0" applyFont="1" applyBorder="1" applyAlignment="1">
      <alignment horizontal="left" vertical="center" wrapText="1"/>
    </xf>
    <xf numFmtId="0" fontId="10" fillId="0" borderId="34" xfId="0" applyFont="1" applyBorder="1" applyAlignment="1">
      <alignment horizontal="left" vertical="center" wrapText="1"/>
    </xf>
    <xf numFmtId="0" fontId="10" fillId="0" borderId="35" xfId="0" applyFont="1" applyBorder="1" applyAlignment="1">
      <alignment horizontal="left" vertical="center" wrapText="1"/>
    </xf>
    <xf numFmtId="0" fontId="0" fillId="0" borderId="40" xfId="0" applyBorder="1" applyAlignment="1">
      <alignment horizontal="center" vertical="center"/>
    </xf>
    <xf numFmtId="0" fontId="0" fillId="0" borderId="23" xfId="0" applyBorder="1" applyAlignment="1">
      <alignment horizontal="center" vertical="center"/>
    </xf>
    <xf numFmtId="0" fontId="0" fillId="0" borderId="15" xfId="0" applyBorder="1" applyAlignment="1">
      <alignment horizontal="center" vertical="center"/>
    </xf>
    <xf numFmtId="0" fontId="0" fillId="0" borderId="32" xfId="0" applyBorder="1" applyAlignment="1">
      <alignment horizontal="center" vertical="center"/>
    </xf>
    <xf numFmtId="0" fontId="0" fillId="0" borderId="31" xfId="0" applyBorder="1" applyAlignment="1">
      <alignment horizontal="center" vertical="center"/>
    </xf>
    <xf numFmtId="0" fontId="10" fillId="0" borderId="34" xfId="0" applyFont="1" applyBorder="1" applyAlignment="1">
      <alignment horizontal="center" vertical="center"/>
    </xf>
    <xf numFmtId="0" fontId="10" fillId="0" borderId="35" xfId="0" applyFont="1" applyBorder="1" applyAlignment="1">
      <alignment horizontal="center" vertical="center"/>
    </xf>
    <xf numFmtId="49" fontId="18" fillId="0" borderId="34" xfId="0" applyNumberFormat="1" applyFont="1" applyBorder="1" applyAlignment="1">
      <alignment horizontal="center" vertical="center"/>
    </xf>
    <xf numFmtId="49" fontId="18" fillId="0" borderId="42" xfId="0" applyNumberFormat="1" applyFont="1" applyBorder="1" applyAlignment="1">
      <alignment horizontal="center" vertical="center"/>
    </xf>
    <xf numFmtId="49" fontId="18" fillId="0" borderId="35" xfId="0" applyNumberFormat="1" applyFont="1" applyBorder="1" applyAlignment="1">
      <alignment horizontal="center" vertical="center"/>
    </xf>
    <xf numFmtId="49" fontId="18" fillId="0" borderId="30" xfId="0" applyNumberFormat="1" applyFont="1" applyBorder="1" applyAlignment="1">
      <alignment horizontal="center" vertical="center"/>
    </xf>
    <xf numFmtId="49" fontId="18" fillId="0" borderId="32" xfId="0" applyNumberFormat="1" applyFont="1" applyBorder="1" applyAlignment="1">
      <alignment horizontal="center" vertical="center"/>
    </xf>
    <xf numFmtId="49" fontId="18" fillId="0" borderId="31" xfId="0" applyNumberFormat="1" applyFont="1" applyBorder="1" applyAlignment="1">
      <alignment horizontal="center" vertical="center"/>
    </xf>
    <xf numFmtId="0" fontId="0" fillId="0" borderId="77" xfId="0" applyBorder="1" applyAlignment="1">
      <alignment horizontal="center" vertical="center"/>
    </xf>
    <xf numFmtId="0" fontId="0" fillId="0" borderId="46" xfId="0" applyBorder="1" applyAlignment="1">
      <alignment horizontal="center" vertical="center"/>
    </xf>
    <xf numFmtId="0" fontId="0" fillId="0" borderId="73" xfId="0" applyBorder="1" applyAlignment="1">
      <alignment horizontal="center" vertical="center"/>
    </xf>
    <xf numFmtId="49" fontId="18" fillId="0" borderId="14" xfId="0" applyNumberFormat="1" applyFont="1" applyBorder="1" applyAlignment="1">
      <alignment horizontal="center" vertical="center"/>
    </xf>
    <xf numFmtId="49" fontId="18" fillId="0" borderId="53" xfId="0" applyNumberFormat="1" applyFont="1" applyBorder="1" applyAlignment="1">
      <alignment horizontal="center" vertical="center"/>
    </xf>
    <xf numFmtId="0" fontId="0" fillId="0" borderId="53" xfId="0" applyBorder="1" applyAlignment="1">
      <alignment horizontal="center" vertical="center"/>
    </xf>
    <xf numFmtId="49" fontId="18" fillId="0" borderId="49" xfId="0" applyNumberFormat="1" applyFont="1" applyBorder="1" applyAlignment="1">
      <alignment horizontal="center" vertical="center"/>
    </xf>
    <xf numFmtId="49" fontId="18" fillId="0" borderId="43" xfId="0" applyNumberFormat="1" applyFont="1" applyBorder="1" applyAlignment="1">
      <alignment horizontal="center" vertical="center"/>
    </xf>
    <xf numFmtId="0" fontId="7" fillId="2" borderId="32" xfId="0" applyFont="1" applyFill="1" applyBorder="1" applyAlignment="1">
      <alignment horizontal="right" vertical="center"/>
    </xf>
    <xf numFmtId="0" fontId="7" fillId="2" borderId="31" xfId="0" applyFont="1" applyFill="1" applyBorder="1" applyAlignment="1">
      <alignment horizontal="right" vertical="center"/>
    </xf>
    <xf numFmtId="0" fontId="0" fillId="0" borderId="45" xfId="0" applyBorder="1" applyAlignment="1">
      <alignment horizontal="center" vertical="center" wrapText="1"/>
    </xf>
    <xf numFmtId="0" fontId="0" fillId="0" borderId="74" xfId="0" applyBorder="1" applyAlignment="1">
      <alignment horizontal="center" vertical="center"/>
    </xf>
    <xf numFmtId="0" fontId="0" fillId="0" borderId="34" xfId="0" applyBorder="1" applyAlignment="1">
      <alignment horizontal="center" vertical="center"/>
    </xf>
    <xf numFmtId="0" fontId="0" fillId="0" borderId="42" xfId="0" applyBorder="1" applyAlignment="1">
      <alignment horizontal="center" vertical="center"/>
    </xf>
    <xf numFmtId="0" fontId="0" fillId="0" borderId="35" xfId="0" applyBorder="1" applyAlignment="1">
      <alignment horizontal="center" vertical="center"/>
    </xf>
    <xf numFmtId="0" fontId="21" fillId="0" borderId="0" xfId="0" applyFont="1" applyAlignment="1">
      <alignment horizontal="left" vertical="center"/>
    </xf>
    <xf numFmtId="0" fontId="13" fillId="0" borderId="0" xfId="0" applyFont="1" applyAlignment="1">
      <alignment horizontal="left" vertical="center"/>
    </xf>
    <xf numFmtId="0" fontId="10" fillId="0" borderId="0" xfId="0" applyFont="1" applyAlignment="1">
      <alignment horizontal="left" vertical="center" wrapText="1"/>
    </xf>
    <xf numFmtId="0" fontId="95" fillId="0" borderId="0" xfId="0" applyFont="1" applyAlignment="1">
      <alignment vertical="center"/>
    </xf>
    <xf numFmtId="0" fontId="10" fillId="0" borderId="0" xfId="0" applyFont="1" applyAlignment="1">
      <alignment vertical="center"/>
    </xf>
    <xf numFmtId="0" fontId="21" fillId="0" borderId="0" xfId="0" applyFont="1" applyAlignment="1">
      <alignment horizontal="left" vertical="center"/>
    </xf>
    <xf numFmtId="0" fontId="7" fillId="6" borderId="30" xfId="0" applyFont="1" applyFill="1" applyBorder="1" applyAlignment="1">
      <alignment vertical="center"/>
    </xf>
    <xf numFmtId="0" fontId="7" fillId="6" borderId="32" xfId="0" applyFont="1" applyFill="1" applyBorder="1" applyAlignment="1">
      <alignment vertical="center"/>
    </xf>
    <xf numFmtId="0" fontId="7" fillId="6" borderId="31" xfId="0" applyFont="1" applyFill="1" applyBorder="1" applyAlignment="1">
      <alignment vertical="center"/>
    </xf>
    <xf numFmtId="0" fontId="7" fillId="0" borderId="0" xfId="0" applyFont="1" applyAlignment="1">
      <alignment vertical="center"/>
    </xf>
    <xf numFmtId="0" fontId="7" fillId="0" borderId="0" xfId="0" applyFont="1"/>
    <xf numFmtId="14" fontId="9" fillId="0" borderId="0" xfId="0" applyNumberFormat="1" applyFont="1" applyAlignment="1">
      <alignment horizontal="left" vertical="center"/>
    </xf>
    <xf numFmtId="0" fontId="0" fillId="0" borderId="0" xfId="0" applyAlignment="1">
      <alignment horizontal="left" vertical="center" wrapText="1"/>
    </xf>
    <xf numFmtId="14" fontId="96" fillId="0" borderId="0" xfId="0" applyNumberFormat="1" applyFont="1" applyAlignment="1">
      <alignment horizontal="left" vertical="center"/>
    </xf>
    <xf numFmtId="0" fontId="7" fillId="7" borderId="32" xfId="0" applyFont="1" applyFill="1" applyBorder="1" applyAlignment="1">
      <alignment vertical="center"/>
    </xf>
    <xf numFmtId="0" fontId="0" fillId="0" borderId="32" xfId="0" applyBorder="1" applyAlignment="1">
      <alignment vertical="center"/>
    </xf>
    <xf numFmtId="0" fontId="7" fillId="7" borderId="28" xfId="0" applyFont="1" applyFill="1" applyBorder="1" applyAlignment="1">
      <alignment vertical="center"/>
    </xf>
    <xf numFmtId="0" fontId="0" fillId="0" borderId="28" xfId="0" applyBorder="1" applyAlignment="1">
      <alignment vertical="center"/>
    </xf>
    <xf numFmtId="0" fontId="0" fillId="0" borderId="42" xfId="0" applyBorder="1" applyAlignment="1">
      <alignment horizontal="left" vertical="center" wrapText="1"/>
    </xf>
    <xf numFmtId="14" fontId="9" fillId="0" borderId="0" xfId="0" applyNumberFormat="1" applyFont="1" applyAlignment="1">
      <alignment horizontal="left" vertical="center" wrapText="1"/>
    </xf>
    <xf numFmtId="10" fontId="0" fillId="0" borderId="0" xfId="0" applyNumberFormat="1" applyAlignment="1">
      <alignment horizontal="left" vertical="center"/>
    </xf>
    <xf numFmtId="10" fontId="9" fillId="0" borderId="0" xfId="0" applyNumberFormat="1" applyFont="1" applyAlignment="1">
      <alignment horizontal="left" vertical="center"/>
    </xf>
    <xf numFmtId="14" fontId="98" fillId="0" borderId="0" xfId="0" applyNumberFormat="1" applyFont="1" applyAlignment="1">
      <alignment horizontal="left" vertical="center"/>
    </xf>
    <xf numFmtId="0" fontId="99" fillId="0" borderId="34" xfId="0" applyFont="1" applyBorder="1" applyAlignment="1">
      <alignment horizontal="left" vertical="center"/>
    </xf>
    <xf numFmtId="0" fontId="99" fillId="0" borderId="42" xfId="0" applyFont="1" applyBorder="1" applyAlignment="1">
      <alignment horizontal="left" vertical="center"/>
    </xf>
    <xf numFmtId="0" fontId="99" fillId="0" borderId="35" xfId="0" applyFont="1" applyBorder="1" applyAlignment="1">
      <alignment horizontal="left" vertical="center"/>
    </xf>
    <xf numFmtId="0" fontId="20" fillId="0" borderId="79" xfId="0" applyFont="1" applyBorder="1" applyAlignment="1">
      <alignment horizontal="left" vertical="center"/>
    </xf>
    <xf numFmtId="14" fontId="21" fillId="0" borderId="80" xfId="0" applyNumberFormat="1" applyFont="1" applyBorder="1" applyAlignment="1">
      <alignment horizontal="left" vertical="center"/>
    </xf>
    <xf numFmtId="0" fontId="21" fillId="0" borderId="80" xfId="0" applyFont="1" applyBorder="1" applyAlignment="1">
      <alignment horizontal="left" vertical="center"/>
    </xf>
    <xf numFmtId="0" fontId="20" fillId="0" borderId="80" xfId="0" applyFont="1" applyBorder="1" applyAlignment="1">
      <alignment horizontal="right" vertical="center"/>
    </xf>
    <xf numFmtId="0" fontId="20" fillId="0" borderId="81" xfId="0" applyFont="1" applyBorder="1" applyAlignment="1">
      <alignment horizontal="right" vertical="center"/>
    </xf>
    <xf numFmtId="0" fontId="20" fillId="0" borderId="82" xfId="0" applyFont="1" applyBorder="1" applyAlignment="1">
      <alignment horizontal="left" vertical="center"/>
    </xf>
    <xf numFmtId="0" fontId="99" fillId="0" borderId="83" xfId="0" applyFont="1" applyBorder="1" applyAlignment="1">
      <alignment horizontal="left" vertical="center"/>
    </xf>
    <xf numFmtId="0" fontId="99" fillId="0" borderId="84" xfId="0" applyFont="1" applyBorder="1" applyAlignment="1">
      <alignment horizontal="left" vertical="center"/>
    </xf>
    <xf numFmtId="14" fontId="21" fillId="7" borderId="63" xfId="0" applyNumberFormat="1" applyFont="1" applyFill="1" applyBorder="1" applyAlignment="1" applyProtection="1">
      <alignment horizontal="left"/>
      <protection locked="0"/>
    </xf>
    <xf numFmtId="14" fontId="21" fillId="7" borderId="6" xfId="0" applyNumberFormat="1" applyFont="1" applyFill="1" applyBorder="1" applyAlignment="1" applyProtection="1">
      <alignment horizontal="left"/>
      <protection locked="0"/>
    </xf>
    <xf numFmtId="0" fontId="20" fillId="7" borderId="67" xfId="0" applyFont="1" applyFill="1" applyBorder="1" applyAlignment="1">
      <alignment horizontal="center"/>
    </xf>
    <xf numFmtId="0" fontId="20" fillId="7" borderId="63" xfId="0" applyFont="1" applyFill="1" applyBorder="1" applyAlignment="1">
      <alignment horizontal="center"/>
    </xf>
    <xf numFmtId="0" fontId="20" fillId="7" borderId="68" xfId="0" applyFont="1" applyFill="1" applyBorder="1" applyAlignment="1">
      <alignment horizontal="center"/>
    </xf>
    <xf numFmtId="0" fontId="20" fillId="7" borderId="6" xfId="0" applyFont="1" applyFill="1" applyBorder="1" applyAlignment="1">
      <alignment horizontal="center"/>
    </xf>
    <xf numFmtId="0" fontId="21" fillId="7" borderId="85" xfId="0" applyFont="1" applyFill="1" applyBorder="1" applyAlignment="1" applyProtection="1">
      <alignment horizontal="left"/>
      <protection locked="0"/>
    </xf>
    <xf numFmtId="0" fontId="20" fillId="7" borderId="58" xfId="0" applyFont="1" applyFill="1" applyBorder="1" applyAlignment="1">
      <alignment horizontal="center"/>
    </xf>
    <xf numFmtId="0" fontId="20" fillId="7" borderId="52" xfId="0" applyFont="1" applyFill="1" applyBorder="1" applyAlignment="1">
      <alignment horizontal="center"/>
    </xf>
    <xf numFmtId="0" fontId="21" fillId="7" borderId="86" xfId="0" applyFont="1" applyFill="1" applyBorder="1" applyAlignment="1" applyProtection="1">
      <alignment horizontal="left"/>
      <protection locked="0"/>
    </xf>
    <xf numFmtId="0" fontId="21" fillId="7" borderId="15" xfId="0" applyFont="1" applyFill="1" applyBorder="1" applyAlignment="1" applyProtection="1">
      <alignment horizontal="left"/>
      <protection locked="0"/>
    </xf>
    <xf numFmtId="18" fontId="0" fillId="0" borderId="0" xfId="0" applyNumberFormat="1"/>
    <xf numFmtId="0" fontId="21" fillId="0" borderId="0" xfId="0" applyFont="1" applyAlignment="1" applyProtection="1">
      <alignment horizontal="left"/>
      <protection locked="0"/>
    </xf>
    <xf numFmtId="0" fontId="20" fillId="9" borderId="1" xfId="0" applyFont="1" applyFill="1" applyBorder="1" applyAlignment="1">
      <alignment horizontal="center"/>
    </xf>
    <xf numFmtId="0" fontId="20" fillId="9" borderId="2" xfId="0" applyFont="1" applyFill="1" applyBorder="1" applyAlignment="1">
      <alignment horizontal="center"/>
    </xf>
    <xf numFmtId="0" fontId="20" fillId="9" borderId="18" xfId="0" applyFont="1" applyFill="1" applyBorder="1" applyAlignment="1">
      <alignment horizontal="center"/>
    </xf>
    <xf numFmtId="0" fontId="20" fillId="9" borderId="6" xfId="0" applyFont="1" applyFill="1" applyBorder="1" applyAlignment="1">
      <alignment horizontal="center"/>
    </xf>
    <xf numFmtId="0" fontId="20" fillId="9" borderId="7" xfId="0" applyFont="1" applyFill="1" applyBorder="1" applyAlignment="1">
      <alignment horizontal="center"/>
    </xf>
    <xf numFmtId="0" fontId="20" fillId="9" borderId="23" xfId="0" applyFont="1" applyFill="1" applyBorder="1" applyAlignment="1">
      <alignment horizontal="center"/>
    </xf>
    <xf numFmtId="0" fontId="22" fillId="10" borderId="65" xfId="0" applyFont="1" applyFill="1" applyBorder="1" applyAlignment="1">
      <alignment horizontal="center"/>
    </xf>
    <xf numFmtId="0" fontId="22" fillId="10" borderId="2" xfId="0" applyFont="1" applyFill="1" applyBorder="1" applyAlignment="1">
      <alignment horizontal="center"/>
    </xf>
    <xf numFmtId="0" fontId="22" fillId="10" borderId="18" xfId="0" applyFont="1" applyFill="1" applyBorder="1" applyAlignment="1">
      <alignment horizontal="center"/>
    </xf>
    <xf numFmtId="0" fontId="22" fillId="10" borderId="14" xfId="0" applyFont="1" applyFill="1" applyBorder="1" applyAlignment="1">
      <alignment horizontal="center"/>
    </xf>
    <xf numFmtId="0" fontId="22" fillId="10" borderId="52" xfId="0" applyFont="1" applyFill="1" applyBorder="1" applyAlignment="1">
      <alignment horizontal="center"/>
    </xf>
    <xf numFmtId="0" fontId="22" fillId="10" borderId="52" xfId="0" applyFont="1" applyFill="1" applyBorder="1" applyAlignment="1" applyProtection="1">
      <alignment horizontal="center"/>
      <protection locked="0"/>
    </xf>
    <xf numFmtId="0" fontId="22" fillId="10" borderId="59" xfId="0" applyFont="1" applyFill="1" applyBorder="1" applyAlignment="1">
      <alignment horizontal="center"/>
    </xf>
    <xf numFmtId="0" fontId="22" fillId="0" borderId="65" xfId="0" applyFont="1" applyBorder="1" applyAlignment="1">
      <alignment horizontal="center"/>
    </xf>
    <xf numFmtId="0" fontId="20" fillId="7" borderId="22" xfId="0" applyFont="1" applyFill="1" applyBorder="1" applyAlignment="1">
      <alignment horizontal="center"/>
    </xf>
    <xf numFmtId="0" fontId="20" fillId="7" borderId="1" xfId="0" applyFont="1" applyFill="1" applyBorder="1" applyAlignment="1" applyProtection="1">
      <alignment horizontal="center"/>
      <protection locked="0"/>
    </xf>
    <xf numFmtId="168" fontId="20" fillId="7" borderId="1" xfId="0" applyNumberFormat="1" applyFont="1" applyFill="1" applyBorder="1" applyAlignment="1" applyProtection="1">
      <alignment horizontal="center"/>
      <protection locked="0"/>
    </xf>
    <xf numFmtId="0" fontId="20" fillId="7" borderId="68" xfId="0" applyFont="1" applyFill="1" applyBorder="1" applyAlignment="1" applyProtection="1">
      <alignment horizontal="center"/>
      <protection locked="0"/>
    </xf>
    <xf numFmtId="0" fontId="20" fillId="7" borderId="52" xfId="0" applyFont="1" applyFill="1" applyBorder="1" applyAlignment="1" applyProtection="1">
      <alignment horizontal="center"/>
      <protection locked="0"/>
    </xf>
    <xf numFmtId="168" fontId="20" fillId="7" borderId="52" xfId="0" applyNumberFormat="1" applyFont="1" applyFill="1" applyBorder="1" applyAlignment="1" applyProtection="1">
      <alignment horizontal="center"/>
      <protection locked="0"/>
    </xf>
    <xf numFmtId="0" fontId="24" fillId="7" borderId="24" xfId="0" applyFont="1" applyFill="1" applyBorder="1" applyAlignment="1" applyProtection="1">
      <alignment vertical="top" wrapText="1"/>
      <protection locked="0"/>
    </xf>
    <xf numFmtId="0" fontId="24" fillId="7" borderId="0" xfId="0" applyFont="1" applyFill="1" applyAlignment="1" applyProtection="1">
      <alignment vertical="top" wrapText="1"/>
      <protection locked="0"/>
    </xf>
    <xf numFmtId="0" fontId="24" fillId="7" borderId="20" xfId="0" applyFont="1" applyFill="1" applyBorder="1" applyAlignment="1" applyProtection="1">
      <alignment vertical="top" wrapText="1"/>
      <protection locked="0"/>
    </xf>
    <xf numFmtId="0" fontId="24" fillId="7" borderId="19" xfId="0" applyFont="1" applyFill="1" applyBorder="1" applyAlignment="1" applyProtection="1">
      <alignment vertical="top" wrapText="1"/>
      <protection locked="0"/>
    </xf>
    <xf numFmtId="0" fontId="24" fillId="7" borderId="7" xfId="0" applyFont="1" applyFill="1" applyBorder="1" applyAlignment="1" applyProtection="1">
      <alignment vertical="top" wrapText="1"/>
      <protection locked="0"/>
    </xf>
    <xf numFmtId="0" fontId="24" fillId="7" borderId="23" xfId="0" applyFont="1" applyFill="1" applyBorder="1" applyAlignment="1" applyProtection="1">
      <alignment vertical="top" wrapText="1"/>
      <protection locked="0"/>
    </xf>
    <xf numFmtId="0" fontId="22" fillId="0" borderId="78" xfId="0" applyFont="1" applyBorder="1" applyAlignment="1">
      <alignment horizontal="left"/>
    </xf>
    <xf numFmtId="0" fontId="101" fillId="7" borderId="6" xfId="0" applyFont="1" applyFill="1" applyBorder="1" applyAlignment="1" applyProtection="1">
      <alignment horizontal="left"/>
      <protection locked="0"/>
    </xf>
    <xf numFmtId="0" fontId="101" fillId="7" borderId="7" xfId="0" applyFont="1" applyFill="1" applyBorder="1" applyAlignment="1" applyProtection="1">
      <alignment horizontal="left"/>
      <protection locked="0"/>
    </xf>
    <xf numFmtId="0" fontId="101" fillId="7" borderId="8" xfId="0" applyFont="1" applyFill="1" applyBorder="1" applyAlignment="1" applyProtection="1">
      <alignment horizontal="left"/>
      <protection locked="0"/>
    </xf>
    <xf numFmtId="0" fontId="21" fillId="7" borderId="68" xfId="0" applyFont="1" applyFill="1" applyBorder="1" applyAlignment="1" applyProtection="1">
      <alignment horizontal="left"/>
      <protection locked="0"/>
    </xf>
    <xf numFmtId="0" fontId="21" fillId="7" borderId="20" xfId="0" applyFont="1" applyFill="1" applyBorder="1" applyAlignment="1" applyProtection="1">
      <alignment horizontal="left"/>
      <protection locked="0"/>
    </xf>
    <xf numFmtId="0" fontId="22" fillId="0" borderId="24" xfId="0" applyFont="1" applyBorder="1" applyAlignment="1">
      <alignment horizontal="left"/>
    </xf>
    <xf numFmtId="0" fontId="22" fillId="0" borderId="4" xfId="0" applyFont="1" applyBorder="1"/>
    <xf numFmtId="0" fontId="22" fillId="0" borderId="0" xfId="0" applyFont="1"/>
    <xf numFmtId="0" fontId="22" fillId="0" borderId="5" xfId="0" applyFont="1" applyBorder="1"/>
    <xf numFmtId="0" fontId="22" fillId="0" borderId="78" xfId="0" applyFont="1" applyBorder="1" applyAlignment="1">
      <alignment horizontal="left"/>
    </xf>
    <xf numFmtId="0" fontId="101" fillId="7" borderId="27" xfId="0" applyFont="1" applyFill="1" applyBorder="1" applyAlignment="1" applyProtection="1">
      <alignment horizontal="left"/>
      <protection locked="0"/>
    </xf>
    <xf numFmtId="0" fontId="101" fillId="7" borderId="28" xfId="0" applyFont="1" applyFill="1" applyBorder="1" applyAlignment="1" applyProtection="1">
      <alignment horizontal="left"/>
      <protection locked="0"/>
    </xf>
    <xf numFmtId="0" fontId="101" fillId="7" borderId="66" xfId="0" applyFont="1" applyFill="1" applyBorder="1" applyAlignment="1" applyProtection="1">
      <alignment horizontal="left"/>
      <protection locked="0"/>
    </xf>
    <xf numFmtId="0" fontId="21" fillId="7" borderId="29" xfId="0" applyFont="1" applyFill="1" applyBorder="1" applyAlignment="1" applyProtection="1">
      <alignment horizontal="left"/>
      <protection locked="0"/>
    </xf>
    <xf numFmtId="0" fontId="22" fillId="0" borderId="1" xfId="0" applyFont="1" applyBorder="1"/>
    <xf numFmtId="0" fontId="22" fillId="0" borderId="2" xfId="0" applyFont="1" applyBorder="1"/>
    <xf numFmtId="0" fontId="22" fillId="0" borderId="3" xfId="0" applyFont="1" applyBorder="1"/>
    <xf numFmtId="168" fontId="22" fillId="9" borderId="51" xfId="0" applyNumberFormat="1" applyFont="1" applyFill="1" applyBorder="1" applyAlignment="1">
      <alignment horizontal="center"/>
    </xf>
  </cellXfs>
  <cellStyles count="5">
    <cellStyle name="Hyperlink" xfId="4" builtinId="8"/>
    <cellStyle name="Normal" xfId="0" builtinId="0"/>
    <cellStyle name="Normal 2" xfId="1" xr:uid="{834D8F40-8509-4101-A8C6-26EB970D3611}"/>
    <cellStyle name="Normal 3" xfId="2" xr:uid="{82C17168-A57E-4F12-9CB7-9B995A3A0911}"/>
    <cellStyle name="Percent" xfId="3" builtinId="5"/>
  </cellStyles>
  <dxfs count="156">
    <dxf>
      <fill>
        <patternFill>
          <bgColor rgb="FFFFFF00"/>
        </patternFill>
      </fill>
    </dxf>
    <dxf>
      <fill>
        <patternFill>
          <bgColor rgb="FFFFC000"/>
        </patternFill>
      </fill>
    </dxf>
    <dxf>
      <fill>
        <patternFill>
          <bgColor rgb="FF90EE90"/>
        </patternFill>
      </fill>
    </dxf>
    <dxf>
      <fill>
        <patternFill>
          <bgColor rgb="FFFF7C19"/>
        </patternFill>
      </fill>
    </dxf>
    <dxf>
      <fill>
        <patternFill>
          <bgColor rgb="FFFF730E"/>
        </patternFill>
      </fill>
    </dxf>
    <dxf>
      <fill>
        <patternFill>
          <bgColor rgb="FFFF730E"/>
        </patternFill>
      </fill>
    </dxf>
    <dxf>
      <fill>
        <patternFill>
          <bgColor rgb="FFFF7C19"/>
        </patternFill>
      </fill>
    </dxf>
    <dxf>
      <fill>
        <patternFill>
          <bgColor rgb="FFFF0000"/>
        </patternFill>
      </fill>
    </dxf>
    <dxf>
      <fill>
        <patternFill>
          <bgColor rgb="FFFF730E"/>
        </patternFill>
      </fill>
    </dxf>
    <dxf>
      <fill>
        <patternFill>
          <bgColor rgb="FFFF730E"/>
        </patternFill>
      </fill>
    </dxf>
    <dxf>
      <font>
        <color theme="0"/>
      </font>
      <fill>
        <patternFill>
          <bgColor rgb="FFC4012F"/>
        </patternFill>
      </fill>
    </dxf>
    <dxf>
      <fill>
        <patternFill>
          <bgColor rgb="FFFF730E"/>
        </patternFill>
      </fill>
    </dxf>
    <dxf>
      <fill>
        <patternFill>
          <bgColor rgb="FFFF730E"/>
        </patternFill>
      </fill>
    </dxf>
    <dxf>
      <fill>
        <patternFill>
          <bgColor rgb="FFFF7C19"/>
        </patternFill>
      </fill>
    </dxf>
    <dxf>
      <fill>
        <patternFill>
          <bgColor rgb="FF90EE90"/>
        </patternFill>
      </fill>
    </dxf>
    <dxf>
      <fill>
        <patternFill>
          <bgColor rgb="FFFF0000"/>
        </patternFill>
      </fill>
    </dxf>
    <dxf>
      <fill>
        <patternFill>
          <bgColor rgb="FF90EE90"/>
        </patternFill>
      </fill>
    </dxf>
    <dxf>
      <font>
        <strike val="0"/>
      </font>
      <fill>
        <patternFill>
          <bgColor rgb="FFC00000"/>
        </patternFill>
      </fill>
    </dxf>
    <dxf>
      <fill>
        <patternFill>
          <bgColor rgb="FF90EE90"/>
        </patternFill>
      </fill>
    </dxf>
    <dxf>
      <font>
        <strike val="0"/>
      </font>
      <fill>
        <patternFill>
          <bgColor rgb="FFC00000"/>
        </patternFill>
      </fill>
    </dxf>
    <dxf>
      <fill>
        <patternFill>
          <bgColor rgb="FFC00000"/>
        </patternFill>
      </fill>
    </dxf>
    <dxf>
      <fill>
        <patternFill>
          <bgColor rgb="FFFF0000"/>
        </patternFill>
      </fill>
    </dxf>
    <dxf>
      <fill>
        <patternFill>
          <bgColor rgb="FFFF730E"/>
        </patternFill>
      </fill>
    </dxf>
    <dxf>
      <fill>
        <patternFill>
          <bgColor rgb="FFFF730E"/>
        </patternFill>
      </fill>
    </dxf>
    <dxf>
      <fill>
        <patternFill>
          <bgColor rgb="FFFF0000"/>
        </patternFill>
      </fill>
    </dxf>
    <dxf>
      <fill>
        <patternFill>
          <bgColor rgb="FFFF730E"/>
        </patternFill>
      </fill>
    </dxf>
    <dxf>
      <fill>
        <patternFill>
          <bgColor rgb="FFFFFF00"/>
        </patternFill>
      </fill>
    </dxf>
    <dxf>
      <fill>
        <patternFill>
          <bgColor rgb="FFFF0000"/>
        </patternFill>
      </fill>
    </dxf>
    <dxf>
      <fill>
        <patternFill>
          <bgColor rgb="FFC4012F"/>
        </patternFill>
      </fill>
    </dxf>
    <dxf>
      <fill>
        <patternFill>
          <bgColor rgb="FFFF730E"/>
        </patternFill>
      </fill>
    </dxf>
    <dxf>
      <fill>
        <patternFill>
          <bgColor rgb="FFFF730E"/>
        </patternFill>
      </fill>
    </dxf>
    <dxf>
      <font>
        <strike val="0"/>
      </font>
      <fill>
        <patternFill>
          <bgColor rgb="FFFF0000"/>
        </patternFill>
      </fill>
    </dxf>
    <dxf>
      <fill>
        <patternFill>
          <bgColor rgb="FFFF7C19"/>
        </patternFill>
      </fill>
    </dxf>
    <dxf>
      <fill>
        <patternFill>
          <bgColor rgb="FF90EE90"/>
        </patternFill>
      </fill>
    </dxf>
    <dxf>
      <fill>
        <patternFill>
          <bgColor rgb="FF90EE90"/>
        </patternFill>
      </fill>
    </dxf>
    <dxf>
      <fill>
        <patternFill>
          <bgColor rgb="FFC00000"/>
        </patternFill>
      </fill>
    </dxf>
    <dxf>
      <fill>
        <patternFill>
          <bgColor rgb="FFC5050C"/>
        </patternFill>
      </fill>
    </dxf>
    <dxf>
      <fill>
        <patternFill>
          <bgColor rgb="FFFF730E"/>
        </patternFill>
      </fill>
    </dxf>
    <dxf>
      <fill>
        <patternFill>
          <bgColor rgb="FF90EE90"/>
        </patternFill>
      </fill>
    </dxf>
    <dxf>
      <fill>
        <patternFill>
          <bgColor rgb="FFFF0000"/>
        </patternFill>
      </fill>
    </dxf>
    <dxf>
      <fill>
        <patternFill>
          <bgColor rgb="FFFF0000"/>
        </patternFill>
      </fill>
    </dxf>
    <dxf>
      <fill>
        <patternFill>
          <bgColor rgb="FF90EE90"/>
        </patternFill>
      </fill>
    </dxf>
    <dxf>
      <fill>
        <patternFill>
          <bgColor rgb="FF90EE90"/>
        </patternFill>
      </fill>
    </dxf>
    <dxf>
      <font>
        <strike val="0"/>
      </font>
      <fill>
        <patternFill>
          <bgColor rgb="FFC00000"/>
        </patternFill>
      </fill>
    </dxf>
    <dxf>
      <fill>
        <patternFill>
          <bgColor rgb="FF90EE90"/>
        </patternFill>
      </fill>
    </dxf>
    <dxf>
      <font>
        <strike val="0"/>
      </font>
      <fill>
        <patternFill>
          <bgColor rgb="FFC00000"/>
        </patternFill>
      </fill>
    </dxf>
    <dxf>
      <fill>
        <patternFill>
          <bgColor rgb="FFC00000"/>
        </patternFill>
      </fill>
    </dxf>
    <dxf>
      <fill>
        <patternFill>
          <bgColor rgb="FFFF0000"/>
        </patternFill>
      </fill>
    </dxf>
    <dxf>
      <fill>
        <patternFill>
          <bgColor rgb="FFFF7C19"/>
        </patternFill>
      </fill>
    </dxf>
    <dxf>
      <fill>
        <patternFill>
          <bgColor rgb="FFFFC000"/>
        </patternFill>
      </fill>
    </dxf>
    <dxf>
      <fill>
        <patternFill>
          <bgColor rgb="FF90EE90"/>
        </patternFill>
      </fill>
    </dxf>
    <dxf>
      <fill>
        <patternFill>
          <bgColor rgb="FFFFFF00"/>
        </patternFill>
      </fill>
    </dxf>
    <dxf>
      <fill>
        <patternFill>
          <bgColor rgb="FFFF730E"/>
        </patternFill>
      </fill>
    </dxf>
    <dxf>
      <fill>
        <patternFill>
          <bgColor rgb="FFFF730E"/>
        </patternFill>
      </fill>
    </dxf>
    <dxf>
      <fill>
        <patternFill>
          <bgColor rgb="FFFF7C19"/>
        </patternFill>
      </fill>
    </dxf>
    <dxf>
      <fill>
        <patternFill>
          <bgColor rgb="FFFF0000"/>
        </patternFill>
      </fill>
    </dxf>
    <dxf>
      <fill>
        <patternFill>
          <bgColor rgb="FFFF730E"/>
        </patternFill>
      </fill>
    </dxf>
    <dxf>
      <fill>
        <patternFill>
          <bgColor rgb="FFFF730E"/>
        </patternFill>
      </fill>
    </dxf>
    <dxf>
      <fill>
        <patternFill>
          <bgColor rgb="FFFF0000"/>
        </patternFill>
      </fill>
    </dxf>
    <dxf>
      <fill>
        <patternFill>
          <bgColor rgb="FFFF730E"/>
        </patternFill>
      </fill>
    </dxf>
    <dxf>
      <fill>
        <patternFill>
          <bgColor rgb="FFFFFF00"/>
        </patternFill>
      </fill>
    </dxf>
    <dxf>
      <fill>
        <patternFill>
          <bgColor rgb="FF90EE90"/>
        </patternFill>
      </fill>
    </dxf>
    <dxf>
      <fill>
        <patternFill>
          <bgColor rgb="FFFF0000"/>
        </patternFill>
      </fill>
    </dxf>
    <dxf>
      <fill>
        <patternFill>
          <bgColor rgb="FFC4012F"/>
        </patternFill>
      </fill>
    </dxf>
    <dxf>
      <fill>
        <patternFill>
          <bgColor rgb="FFFF730E"/>
        </patternFill>
      </fill>
    </dxf>
    <dxf>
      <fill>
        <patternFill>
          <bgColor rgb="FFFF730E"/>
        </patternFill>
      </fill>
    </dxf>
    <dxf>
      <fill>
        <patternFill>
          <bgColor rgb="FF90EE90"/>
        </patternFill>
      </fill>
    </dxf>
    <dxf>
      <font>
        <strike val="0"/>
      </font>
      <fill>
        <patternFill>
          <bgColor rgb="FFFF0000"/>
        </patternFill>
      </fill>
    </dxf>
    <dxf>
      <fill>
        <patternFill>
          <bgColor rgb="FFFF7C19"/>
        </patternFill>
      </fill>
    </dxf>
    <dxf>
      <fill>
        <patternFill>
          <bgColor rgb="FFFF7C19"/>
        </patternFill>
      </fill>
    </dxf>
    <dxf>
      <fill>
        <patternFill>
          <bgColor rgb="FFC5050C"/>
        </patternFill>
      </fill>
    </dxf>
    <dxf>
      <fill>
        <patternFill>
          <bgColor rgb="FFFF730E"/>
        </patternFill>
      </fill>
    </dxf>
    <dxf>
      <fill>
        <patternFill>
          <bgColor rgb="FFFF730E"/>
        </patternFill>
      </fill>
    </dxf>
    <dxf>
      <fill>
        <patternFill>
          <bgColor rgb="FFFF730E"/>
        </patternFill>
      </fill>
    </dxf>
    <dxf>
      <fill>
        <patternFill>
          <bgColor rgb="FFFF730E"/>
        </patternFill>
      </fill>
    </dxf>
    <dxf>
      <font>
        <color theme="0"/>
      </font>
      <fill>
        <patternFill>
          <bgColor rgb="FFC4012F"/>
        </patternFill>
      </fill>
    </dxf>
    <dxf>
      <fill>
        <patternFill>
          <bgColor rgb="FFFF730E"/>
        </patternFill>
      </fill>
    </dxf>
    <dxf>
      <fill>
        <patternFill>
          <bgColor rgb="FFFF730E"/>
        </patternFill>
      </fill>
    </dxf>
    <dxf>
      <fill>
        <patternFill>
          <bgColor rgb="FFFF730E"/>
        </patternFill>
      </fill>
    </dxf>
    <dxf>
      <fill>
        <patternFill>
          <bgColor rgb="FFFF730E"/>
        </patternFill>
      </fill>
    </dxf>
    <dxf>
      <fill>
        <patternFill>
          <bgColor rgb="FFC4012F"/>
        </patternFill>
      </fill>
    </dxf>
    <dxf>
      <fill>
        <patternFill>
          <bgColor rgb="FFFF0000"/>
        </patternFill>
      </fill>
    </dxf>
    <dxf>
      <fill>
        <patternFill>
          <bgColor rgb="FF90EE90"/>
        </patternFill>
      </fill>
    </dxf>
    <dxf>
      <fill>
        <patternFill>
          <bgColor rgb="FFFF7C19"/>
        </patternFill>
      </fill>
    </dxf>
    <dxf>
      <fill>
        <patternFill>
          <bgColor rgb="FFFFC000"/>
        </patternFill>
      </fill>
    </dxf>
    <dxf>
      <fill>
        <patternFill>
          <bgColor rgb="FF90EE90"/>
        </patternFill>
      </fill>
      <border>
        <left/>
        <right/>
        <top/>
        <bottom/>
      </border>
    </dxf>
    <dxf>
      <fill>
        <patternFill>
          <bgColor rgb="FFFF0000"/>
        </patternFill>
      </fill>
    </dxf>
    <dxf>
      <fill>
        <patternFill>
          <bgColor rgb="FFC00000"/>
        </patternFill>
      </fill>
    </dxf>
    <dxf>
      <fill>
        <patternFill>
          <bgColor rgb="FF90EE90"/>
        </patternFill>
      </fill>
    </dxf>
    <dxf>
      <fill>
        <patternFill>
          <bgColor rgb="FFC00000"/>
        </patternFill>
      </fill>
    </dxf>
    <dxf>
      <fill>
        <patternFill>
          <bgColor rgb="FFC00000"/>
        </patternFill>
      </fill>
    </dxf>
    <dxf>
      <fill>
        <patternFill>
          <bgColor rgb="FF90EE90"/>
        </patternFill>
      </fill>
    </dxf>
    <dxf>
      <fill>
        <patternFill>
          <bgColor rgb="FFC00000"/>
        </patternFill>
      </fill>
    </dxf>
    <dxf>
      <fill>
        <patternFill>
          <bgColor rgb="FFC00000"/>
        </patternFill>
      </fill>
    </dxf>
    <dxf>
      <fill>
        <patternFill>
          <bgColor rgb="FFC00000"/>
        </patternFill>
      </fill>
    </dxf>
    <dxf>
      <fill>
        <patternFill>
          <bgColor rgb="FF90EE90"/>
        </patternFill>
      </fill>
    </dxf>
    <dxf>
      <fill>
        <patternFill>
          <bgColor rgb="FFFF0000"/>
        </patternFill>
      </fill>
    </dxf>
    <dxf>
      <fill>
        <patternFill>
          <bgColor rgb="FFFF0000"/>
        </patternFill>
      </fill>
    </dxf>
    <dxf>
      <fill>
        <patternFill>
          <bgColor rgb="FFFFC000"/>
        </patternFill>
      </fill>
    </dxf>
    <dxf>
      <fill>
        <patternFill>
          <bgColor rgb="FFFF730E"/>
        </patternFill>
      </fill>
    </dxf>
    <dxf>
      <fill>
        <patternFill>
          <bgColor rgb="FFFF730E"/>
        </patternFill>
      </fill>
    </dxf>
    <dxf>
      <fill>
        <patternFill>
          <bgColor rgb="FFFF730E"/>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90EE90"/>
        </patternFill>
      </fill>
    </dxf>
    <dxf>
      <fill>
        <patternFill>
          <bgColor rgb="FFFFC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90E990"/>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90EE90"/>
        </patternFill>
      </fill>
    </dxf>
    <dxf>
      <font>
        <strike val="0"/>
      </font>
      <fill>
        <patternFill>
          <bgColor rgb="FFC00000"/>
        </patternFill>
      </fill>
    </dxf>
    <dxf>
      <fill>
        <patternFill>
          <bgColor rgb="FFC00000"/>
        </patternFill>
      </fill>
    </dxf>
    <dxf>
      <fill>
        <patternFill>
          <bgColor rgb="FF90EE90"/>
        </patternFill>
      </fill>
    </dxf>
    <dxf>
      <fill>
        <patternFill>
          <bgColor rgb="FF90EE90"/>
        </patternFill>
      </fill>
    </dxf>
    <dxf>
      <fill>
        <patternFill>
          <bgColor rgb="FFC00000"/>
        </patternFill>
      </fill>
    </dxf>
    <dxf>
      <fill>
        <patternFill>
          <bgColor rgb="FF90EE90"/>
        </patternFill>
      </fill>
    </dxf>
    <dxf>
      <fill>
        <patternFill>
          <bgColor rgb="FF90EE90"/>
        </patternFill>
      </fill>
    </dxf>
    <dxf>
      <fill>
        <patternFill>
          <bgColor rgb="FFFF0000"/>
        </patternFill>
      </fill>
    </dxf>
    <dxf>
      <fill>
        <patternFill>
          <bgColor rgb="FFFF0000"/>
        </patternFill>
      </fill>
    </dxf>
    <dxf>
      <fill>
        <patternFill>
          <bgColor rgb="FFC00000"/>
        </patternFill>
      </fill>
    </dxf>
    <dxf>
      <fill>
        <patternFill>
          <bgColor rgb="FFFF0000"/>
        </patternFill>
      </fill>
    </dxf>
    <dxf>
      <fill>
        <patternFill>
          <bgColor rgb="FFFFC000"/>
        </patternFill>
      </fill>
    </dxf>
    <dxf>
      <fill>
        <patternFill>
          <bgColor rgb="FFFF0000"/>
        </patternFill>
      </fill>
    </dxf>
    <dxf>
      <fill>
        <patternFill>
          <bgColor rgb="FFC00000"/>
        </patternFill>
      </fill>
    </dxf>
    <dxf>
      <fill>
        <patternFill>
          <bgColor rgb="FFFF0000"/>
        </patternFill>
      </fill>
    </dxf>
    <dxf>
      <fill>
        <patternFill>
          <bgColor rgb="FF90EE90"/>
        </patternFill>
      </fill>
    </dxf>
    <dxf>
      <fill>
        <patternFill>
          <bgColor rgb="FFFF0000"/>
        </patternFill>
      </fill>
    </dxf>
    <dxf>
      <fill>
        <patternFill>
          <bgColor rgb="FFFF730E"/>
        </patternFill>
      </fill>
    </dxf>
    <dxf>
      <fill>
        <patternFill>
          <bgColor rgb="FF90EE90"/>
        </patternFill>
      </fill>
    </dxf>
    <dxf>
      <font>
        <strike val="0"/>
      </font>
      <fill>
        <patternFill>
          <bgColor rgb="FFFF0000"/>
        </patternFill>
      </fill>
    </dxf>
    <dxf>
      <fill>
        <patternFill>
          <bgColor rgb="FFFF730E"/>
        </patternFill>
      </fill>
    </dxf>
    <dxf>
      <fill>
        <patternFill>
          <bgColor rgb="FFFF730E"/>
        </patternFill>
      </fill>
    </dxf>
    <dxf>
      <fill>
        <patternFill>
          <bgColor rgb="FFFF0000"/>
        </patternFill>
      </fill>
    </dxf>
    <dxf>
      <fill>
        <patternFill>
          <bgColor rgb="FFFFFF00"/>
        </patternFill>
      </fill>
    </dxf>
    <dxf>
      <fill>
        <patternFill>
          <bgColor rgb="FFFF0000"/>
        </patternFill>
      </fill>
    </dxf>
    <dxf>
      <fill>
        <patternFill>
          <bgColor rgb="FFFF0000"/>
        </patternFill>
      </fill>
    </dxf>
    <dxf>
      <fill>
        <patternFill>
          <bgColor rgb="FFFF730E"/>
        </patternFill>
      </fill>
    </dxf>
    <dxf>
      <fill>
        <patternFill>
          <bgColor rgb="FFC00000"/>
        </patternFill>
      </fill>
    </dxf>
    <dxf>
      <fill>
        <patternFill>
          <bgColor rgb="FFC00000"/>
        </patternFill>
      </fill>
    </dxf>
    <dxf>
      <fill>
        <patternFill>
          <bgColor rgb="FFFFFF00"/>
        </patternFill>
      </fill>
    </dxf>
    <dxf>
      <fill>
        <patternFill>
          <bgColor rgb="FFFFFF00"/>
        </patternFill>
      </fill>
    </dxf>
    <dxf>
      <fill>
        <patternFill>
          <bgColor rgb="FFC00000"/>
        </patternFill>
      </fill>
    </dxf>
    <dxf>
      <fill>
        <patternFill>
          <bgColor rgb="FFC00000"/>
        </patternFill>
      </fill>
    </dxf>
  </dxfs>
  <tableStyles count="0" defaultTableStyle="TableStyleMedium2" defaultPivotStyle="PivotStyleLight16"/>
  <colors>
    <mruColors>
      <color rgb="FF505050"/>
      <color rgb="FFFFFFCC"/>
      <color rgb="FFFF730E"/>
      <color rgb="FF90E990"/>
      <color rgb="FF0BE972"/>
      <color rgb="FF90EE90"/>
      <color rgb="FFC4012F"/>
      <color rgb="FFFF7318"/>
      <color rgb="FFFF9118"/>
      <color rgb="FFFF901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23" Type="http://schemas.openxmlformats.org/officeDocument/2006/relationships/customXml" Target="../customXml/item3.xml"/><Relationship Id="rId10" Type="http://schemas.openxmlformats.org/officeDocument/2006/relationships/worksheet" Target="worksheets/sheet10.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2.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Times New Roman"/>
                <a:ea typeface="Times New Roman"/>
                <a:cs typeface="Times New Roman"/>
              </a:defRPr>
            </a:pPr>
            <a:r>
              <a:rPr lang="en-US" sz="1600">
                <a:latin typeface="+mn-lt"/>
                <a:cs typeface="Arial" panose="020B0604020202020204" pitchFamily="34" charset="0"/>
              </a:rPr>
              <a:t>Tarantula Curve</a:t>
            </a:r>
          </a:p>
        </c:rich>
      </c:tx>
      <c:overlay val="1"/>
    </c:title>
    <c:autoTitleDeleted val="0"/>
    <c:plotArea>
      <c:layout>
        <c:manualLayout>
          <c:layoutTarget val="inner"/>
          <c:xMode val="edge"/>
          <c:yMode val="edge"/>
          <c:x val="0.15482723351269623"/>
          <c:y val="0.12683727034120734"/>
          <c:w val="0.7941726330768889"/>
          <c:h val="0.68202810586176732"/>
        </c:manualLayout>
      </c:layout>
      <c:lineChart>
        <c:grouping val="standard"/>
        <c:varyColors val="0"/>
        <c:ser>
          <c:idx val="0"/>
          <c:order val="0"/>
          <c:spPr>
            <a:ln>
              <a:solidFill>
                <a:srgbClr val="FF0000"/>
              </a:solidFill>
            </a:ln>
          </c:spPr>
          <c:marker>
            <c:symbol val="diamond"/>
            <c:size val="9"/>
            <c:spPr>
              <a:solidFill>
                <a:srgbClr val="FF0000"/>
              </a:solidFill>
              <a:ln w="9525">
                <a:solidFill>
                  <a:srgbClr val="FF0000"/>
                </a:solidFill>
              </a:ln>
            </c:spPr>
          </c:marker>
          <c:cat>
            <c:strRef>
              <c:f>'2 Aggregate System'!$A$26:$A$38</c:f>
              <c:strCache>
                <c:ptCount val="13"/>
                <c:pt idx="0">
                  <c:v>2"</c:v>
                </c:pt>
                <c:pt idx="1">
                  <c:v>1 1/2"</c:v>
                </c:pt>
                <c:pt idx="2">
                  <c:v>1"</c:v>
                </c:pt>
                <c:pt idx="3">
                  <c:v>3/4"</c:v>
                </c:pt>
                <c:pt idx="4">
                  <c:v>1/2"</c:v>
                </c:pt>
                <c:pt idx="5">
                  <c:v>3/8"</c:v>
                </c:pt>
                <c:pt idx="6">
                  <c:v># 4</c:v>
                </c:pt>
                <c:pt idx="7">
                  <c:v># 8</c:v>
                </c:pt>
                <c:pt idx="8">
                  <c:v># 16</c:v>
                </c:pt>
                <c:pt idx="9">
                  <c:v># 30</c:v>
                </c:pt>
                <c:pt idx="10">
                  <c:v># 50</c:v>
                </c:pt>
                <c:pt idx="11">
                  <c:v># 100</c:v>
                </c:pt>
                <c:pt idx="12">
                  <c:v># 200</c:v>
                </c:pt>
              </c:strCache>
            </c:strRef>
          </c:cat>
          <c:val>
            <c:numRef>
              <c:f>'4 Mix Design'!$C$44:$C$56</c:f>
              <c:numCache>
                <c:formatCode>0.0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00-C746-44D5-A333-8963C7AD2A08}"/>
            </c:ext>
          </c:extLst>
        </c:ser>
        <c:ser>
          <c:idx val="1"/>
          <c:order val="1"/>
          <c:spPr>
            <a:ln w="28575">
              <a:solidFill>
                <a:srgbClr val="0000FF"/>
              </a:solidFill>
              <a:prstDash val="sysDash"/>
            </a:ln>
          </c:spPr>
          <c:marker>
            <c:symbol val="none"/>
          </c:marker>
          <c:cat>
            <c:strRef>
              <c:f>'2 Aggregate System'!$A$26:$A$38</c:f>
              <c:strCache>
                <c:ptCount val="13"/>
                <c:pt idx="0">
                  <c:v>2"</c:v>
                </c:pt>
                <c:pt idx="1">
                  <c:v>1 1/2"</c:v>
                </c:pt>
                <c:pt idx="2">
                  <c:v>1"</c:v>
                </c:pt>
                <c:pt idx="3">
                  <c:v>3/4"</c:v>
                </c:pt>
                <c:pt idx="4">
                  <c:v>1/2"</c:v>
                </c:pt>
                <c:pt idx="5">
                  <c:v>3/8"</c:v>
                </c:pt>
                <c:pt idx="6">
                  <c:v># 4</c:v>
                </c:pt>
                <c:pt idx="7">
                  <c:v># 8</c:v>
                </c:pt>
                <c:pt idx="8">
                  <c:v># 16</c:v>
                </c:pt>
                <c:pt idx="9">
                  <c:v># 30</c:v>
                </c:pt>
                <c:pt idx="10">
                  <c:v># 50</c:v>
                </c:pt>
                <c:pt idx="11">
                  <c:v># 100</c:v>
                </c:pt>
                <c:pt idx="12">
                  <c:v># 200</c:v>
                </c:pt>
              </c:strCache>
            </c:strRef>
          </c:cat>
          <c:val>
            <c:numRef>
              <c:f>'6 Agg Analysis'!$Q$26:$Q$38</c:f>
              <c:numCache>
                <c:formatCode>0</c:formatCode>
                <c:ptCount val="13"/>
                <c:pt idx="0">
                  <c:v>0</c:v>
                </c:pt>
                <c:pt idx="1">
                  <c:v>0</c:v>
                </c:pt>
                <c:pt idx="2">
                  <c:v>0</c:v>
                </c:pt>
                <c:pt idx="3">
                  <c:v>0</c:v>
                </c:pt>
                <c:pt idx="4">
                  <c:v>4</c:v>
                </c:pt>
                <c:pt idx="5">
                  <c:v>4</c:v>
                </c:pt>
                <c:pt idx="6">
                  <c:v>4</c:v>
                </c:pt>
                <c:pt idx="7">
                  <c:v>0</c:v>
                </c:pt>
                <c:pt idx="8">
                  <c:v>0</c:v>
                </c:pt>
                <c:pt idx="9">
                  <c:v>4</c:v>
                </c:pt>
                <c:pt idx="10">
                  <c:v>4</c:v>
                </c:pt>
                <c:pt idx="11">
                  <c:v>0</c:v>
                </c:pt>
                <c:pt idx="12">
                  <c:v>0</c:v>
                </c:pt>
              </c:numCache>
            </c:numRef>
          </c:val>
          <c:smooth val="0"/>
          <c:extLst>
            <c:ext xmlns:c16="http://schemas.microsoft.com/office/drawing/2014/chart" uri="{C3380CC4-5D6E-409C-BE32-E72D297353CC}">
              <c16:uniqueId val="{00000001-C746-44D5-A333-8963C7AD2A08}"/>
            </c:ext>
          </c:extLst>
        </c:ser>
        <c:ser>
          <c:idx val="2"/>
          <c:order val="2"/>
          <c:spPr>
            <a:ln w="28575" cmpd="sng">
              <a:solidFill>
                <a:srgbClr val="0000FF"/>
              </a:solidFill>
              <a:prstDash val="sysDash"/>
            </a:ln>
          </c:spPr>
          <c:marker>
            <c:symbol val="none"/>
          </c:marker>
          <c:cat>
            <c:strRef>
              <c:f>'2 Aggregate System'!$A$26:$A$38</c:f>
              <c:strCache>
                <c:ptCount val="13"/>
                <c:pt idx="0">
                  <c:v>2"</c:v>
                </c:pt>
                <c:pt idx="1">
                  <c:v>1 1/2"</c:v>
                </c:pt>
                <c:pt idx="2">
                  <c:v>1"</c:v>
                </c:pt>
                <c:pt idx="3">
                  <c:v>3/4"</c:v>
                </c:pt>
                <c:pt idx="4">
                  <c:v>1/2"</c:v>
                </c:pt>
                <c:pt idx="5">
                  <c:v>3/8"</c:v>
                </c:pt>
                <c:pt idx="6">
                  <c:v># 4</c:v>
                </c:pt>
                <c:pt idx="7">
                  <c:v># 8</c:v>
                </c:pt>
                <c:pt idx="8">
                  <c:v># 16</c:v>
                </c:pt>
                <c:pt idx="9">
                  <c:v># 30</c:v>
                </c:pt>
                <c:pt idx="10">
                  <c:v># 50</c:v>
                </c:pt>
                <c:pt idx="11">
                  <c:v># 100</c:v>
                </c:pt>
                <c:pt idx="12">
                  <c:v># 200</c:v>
                </c:pt>
              </c:strCache>
            </c:strRef>
          </c:cat>
          <c:val>
            <c:numRef>
              <c:f>'6 Agg Analysis'!$P$26:$P$38</c:f>
              <c:numCache>
                <c:formatCode>0</c:formatCode>
                <c:ptCount val="13"/>
                <c:pt idx="0">
                  <c:v>0</c:v>
                </c:pt>
                <c:pt idx="1">
                  <c:v>5</c:v>
                </c:pt>
                <c:pt idx="2">
                  <c:v>16</c:v>
                </c:pt>
                <c:pt idx="3">
                  <c:v>20</c:v>
                </c:pt>
                <c:pt idx="4">
                  <c:v>20</c:v>
                </c:pt>
                <c:pt idx="5">
                  <c:v>20</c:v>
                </c:pt>
                <c:pt idx="6">
                  <c:v>20</c:v>
                </c:pt>
                <c:pt idx="7">
                  <c:v>12</c:v>
                </c:pt>
                <c:pt idx="8">
                  <c:v>12</c:v>
                </c:pt>
                <c:pt idx="9">
                  <c:v>20</c:v>
                </c:pt>
                <c:pt idx="10">
                  <c:v>20</c:v>
                </c:pt>
                <c:pt idx="11">
                  <c:v>10</c:v>
                </c:pt>
                <c:pt idx="12">
                  <c:v>5</c:v>
                </c:pt>
              </c:numCache>
            </c:numRef>
          </c:val>
          <c:smooth val="0"/>
          <c:extLst>
            <c:ext xmlns:c16="http://schemas.microsoft.com/office/drawing/2014/chart" uri="{C3380CC4-5D6E-409C-BE32-E72D297353CC}">
              <c16:uniqueId val="{00000002-C746-44D5-A333-8963C7AD2A08}"/>
            </c:ext>
          </c:extLst>
        </c:ser>
        <c:dLbls>
          <c:showLegendKey val="0"/>
          <c:showVal val="0"/>
          <c:showCatName val="0"/>
          <c:showSerName val="0"/>
          <c:showPercent val="0"/>
          <c:showBubbleSize val="0"/>
        </c:dLbls>
        <c:marker val="1"/>
        <c:smooth val="0"/>
        <c:axId val="241588800"/>
        <c:axId val="241589192"/>
      </c:lineChart>
      <c:catAx>
        <c:axId val="241588800"/>
        <c:scaling>
          <c:orientation val="minMax"/>
        </c:scaling>
        <c:delete val="0"/>
        <c:axPos val="b"/>
        <c:majorGridlines>
          <c:spPr>
            <a:ln w="3175">
              <a:solidFill>
                <a:schemeClr val="bg1">
                  <a:lumMod val="50000"/>
                </a:schemeClr>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latin typeface="+mn-lt"/>
                  </a:rPr>
                  <a:t>Sieve</a:t>
                </a:r>
              </a:p>
            </c:rich>
          </c:tx>
          <c:layout>
            <c:manualLayout>
              <c:xMode val="edge"/>
              <c:yMode val="edge"/>
              <c:x val="0.50819770104914164"/>
              <c:y val="0.90858839262428337"/>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975" b="1" i="0" u="none" strike="noStrike" baseline="0">
                <a:solidFill>
                  <a:srgbClr val="000000"/>
                </a:solidFill>
                <a:latin typeface="+mn-lt"/>
                <a:ea typeface="Arial"/>
                <a:cs typeface="Arial"/>
              </a:defRPr>
            </a:pPr>
            <a:endParaRPr lang="en-US"/>
          </a:p>
        </c:txPr>
        <c:crossAx val="241589192"/>
        <c:crosses val="autoZero"/>
        <c:auto val="0"/>
        <c:lblAlgn val="ctr"/>
        <c:lblOffset val="100"/>
        <c:tickLblSkip val="1"/>
        <c:tickMarkSkip val="1"/>
        <c:noMultiLvlLbl val="0"/>
      </c:catAx>
      <c:valAx>
        <c:axId val="241589192"/>
        <c:scaling>
          <c:orientation val="minMax"/>
        </c:scaling>
        <c:delete val="0"/>
        <c:axPos val="l"/>
        <c:majorGridlines>
          <c:spPr>
            <a:ln w="3175">
              <a:solidFill>
                <a:schemeClr val="bg1">
                  <a:lumMod val="50000"/>
                </a:schemeClr>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latin typeface="+mn-lt"/>
                  </a:rPr>
                  <a:t>Percent Retained, % Vol</a:t>
                </a:r>
              </a:p>
            </c:rich>
          </c:tx>
          <c:layout>
            <c:manualLayout>
              <c:xMode val="edge"/>
              <c:yMode val="edge"/>
              <c:x val="9.1074622983256248E-3"/>
              <c:y val="0.10561528366646476"/>
            </c:manualLayout>
          </c:layout>
          <c:overlay val="0"/>
          <c:spPr>
            <a:noFill/>
            <a:ln w="25400">
              <a:noFill/>
            </a:ln>
          </c:spPr>
        </c:title>
        <c:numFmt formatCode="0;[Red]0" sourceLinked="0"/>
        <c:majorTickMark val="out"/>
        <c:minorTickMark val="none"/>
        <c:tickLblPos val="nextTo"/>
        <c:spPr>
          <a:ln w="3175">
            <a:solidFill>
              <a:srgbClr val="000000"/>
            </a:solidFill>
            <a:prstDash val="solid"/>
          </a:ln>
        </c:spPr>
        <c:txPr>
          <a:bodyPr rot="0" vert="horz"/>
          <a:lstStyle/>
          <a:p>
            <a:pPr>
              <a:defRPr sz="1500" b="0" i="0" u="none" strike="noStrike" baseline="0">
                <a:solidFill>
                  <a:srgbClr val="000000"/>
                </a:solidFill>
                <a:latin typeface="Arial"/>
                <a:ea typeface="Arial"/>
                <a:cs typeface="Arial"/>
              </a:defRPr>
            </a:pPr>
            <a:endParaRPr lang="en-US"/>
          </a:p>
        </c:txPr>
        <c:crossAx val="241588800"/>
        <c:crosses val="autoZero"/>
        <c:crossBetween val="midCat"/>
      </c:valAx>
      <c:spPr>
        <a:noFill/>
        <a:ln w="3175">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4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Times New Roman"/>
                <a:ea typeface="Times New Roman"/>
                <a:cs typeface="Times New Roman"/>
              </a:defRPr>
            </a:pPr>
            <a:r>
              <a:rPr lang="en-US" sz="1600">
                <a:latin typeface="+mn-lt"/>
              </a:rPr>
              <a:t>Indv. Percent</a:t>
            </a:r>
            <a:r>
              <a:rPr lang="en-US" sz="1600" baseline="0">
                <a:latin typeface="+mn-lt"/>
              </a:rPr>
              <a:t> Passing</a:t>
            </a:r>
            <a:endParaRPr lang="en-US" sz="1600">
              <a:latin typeface="+mn-lt"/>
            </a:endParaRPr>
          </a:p>
        </c:rich>
      </c:tx>
      <c:overlay val="1"/>
    </c:title>
    <c:autoTitleDeleted val="0"/>
    <c:plotArea>
      <c:layout>
        <c:manualLayout>
          <c:layoutTarget val="inner"/>
          <c:xMode val="edge"/>
          <c:yMode val="edge"/>
          <c:x val="0.1288565179352581"/>
          <c:y val="0.13073665791776029"/>
          <c:w val="0.82600880338685356"/>
          <c:h val="0.67934782608695654"/>
        </c:manualLayout>
      </c:layout>
      <c:lineChart>
        <c:grouping val="standard"/>
        <c:varyColors val="0"/>
        <c:ser>
          <c:idx val="3"/>
          <c:order val="0"/>
          <c:tx>
            <c:strRef>
              <c:f>'2 Aggregate System'!$A$13</c:f>
              <c:strCache>
                <c:ptCount val="1"/>
                <c:pt idx="0">
                  <c:v>Coarse A</c:v>
                </c:pt>
              </c:strCache>
            </c:strRef>
          </c:tx>
          <c:marker>
            <c:symbol val="circle"/>
            <c:size val="6"/>
            <c:spPr>
              <a:noFill/>
              <a:ln>
                <a:solidFill>
                  <a:schemeClr val="tx1"/>
                </a:solidFill>
                <a:prstDash val="solid"/>
              </a:ln>
            </c:spPr>
          </c:marker>
          <c:cat>
            <c:strRef>
              <c:f>'2 Aggregate System'!$A$26:$A$38</c:f>
              <c:strCache>
                <c:ptCount val="13"/>
                <c:pt idx="0">
                  <c:v>2"</c:v>
                </c:pt>
                <c:pt idx="1">
                  <c:v>1 1/2"</c:v>
                </c:pt>
                <c:pt idx="2">
                  <c:v>1"</c:v>
                </c:pt>
                <c:pt idx="3">
                  <c:v>3/4"</c:v>
                </c:pt>
                <c:pt idx="4">
                  <c:v>1/2"</c:v>
                </c:pt>
                <c:pt idx="5">
                  <c:v>3/8"</c:v>
                </c:pt>
                <c:pt idx="6">
                  <c:v># 4</c:v>
                </c:pt>
                <c:pt idx="7">
                  <c:v># 8</c:v>
                </c:pt>
                <c:pt idx="8">
                  <c:v># 16</c:v>
                </c:pt>
                <c:pt idx="9">
                  <c:v># 30</c:v>
                </c:pt>
                <c:pt idx="10">
                  <c:v># 50</c:v>
                </c:pt>
                <c:pt idx="11">
                  <c:v># 100</c:v>
                </c:pt>
                <c:pt idx="12">
                  <c:v># 200</c:v>
                </c:pt>
              </c:strCache>
            </c:strRef>
          </c:cat>
          <c:val>
            <c:numRef>
              <c:f>'2 Aggregate System'!$B$26:$B$38</c:f>
              <c:numCache>
                <c:formatCode>0.0</c:formatCode>
                <c:ptCount val="13"/>
              </c:numCache>
            </c:numRef>
          </c:val>
          <c:smooth val="0"/>
          <c:extLst>
            <c:ext xmlns:c16="http://schemas.microsoft.com/office/drawing/2014/chart" uri="{C3380CC4-5D6E-409C-BE32-E72D297353CC}">
              <c16:uniqueId val="{00000000-4220-4501-9F77-C4DFD0B19321}"/>
            </c:ext>
          </c:extLst>
        </c:ser>
        <c:ser>
          <c:idx val="4"/>
          <c:order val="1"/>
          <c:tx>
            <c:strRef>
              <c:f>'2 Aggregate System'!$A$14</c:f>
              <c:strCache>
                <c:ptCount val="1"/>
                <c:pt idx="0">
                  <c:v>Coarse B</c:v>
                </c:pt>
              </c:strCache>
            </c:strRef>
          </c:tx>
          <c:marker>
            <c:symbol val="square"/>
            <c:size val="5"/>
            <c:spPr>
              <a:noFill/>
              <a:ln>
                <a:solidFill>
                  <a:srgbClr val="800080"/>
                </a:solidFill>
                <a:prstDash val="solid"/>
              </a:ln>
            </c:spPr>
          </c:marker>
          <c:cat>
            <c:strRef>
              <c:f>'2 Aggregate System'!$A$26:$A$38</c:f>
              <c:strCache>
                <c:ptCount val="13"/>
                <c:pt idx="0">
                  <c:v>2"</c:v>
                </c:pt>
                <c:pt idx="1">
                  <c:v>1 1/2"</c:v>
                </c:pt>
                <c:pt idx="2">
                  <c:v>1"</c:v>
                </c:pt>
                <c:pt idx="3">
                  <c:v>3/4"</c:v>
                </c:pt>
                <c:pt idx="4">
                  <c:v>1/2"</c:v>
                </c:pt>
                <c:pt idx="5">
                  <c:v>3/8"</c:v>
                </c:pt>
                <c:pt idx="6">
                  <c:v># 4</c:v>
                </c:pt>
                <c:pt idx="7">
                  <c:v># 8</c:v>
                </c:pt>
                <c:pt idx="8">
                  <c:v># 16</c:v>
                </c:pt>
                <c:pt idx="9">
                  <c:v># 30</c:v>
                </c:pt>
                <c:pt idx="10">
                  <c:v># 50</c:v>
                </c:pt>
                <c:pt idx="11">
                  <c:v># 100</c:v>
                </c:pt>
                <c:pt idx="12">
                  <c:v># 200</c:v>
                </c:pt>
              </c:strCache>
            </c:strRef>
          </c:cat>
          <c:val>
            <c:numRef>
              <c:f>'2 Aggregate System'!$C$26:$C$38</c:f>
              <c:numCache>
                <c:formatCode>0.0</c:formatCode>
                <c:ptCount val="13"/>
              </c:numCache>
            </c:numRef>
          </c:val>
          <c:smooth val="0"/>
          <c:extLst>
            <c:ext xmlns:c16="http://schemas.microsoft.com/office/drawing/2014/chart" uri="{C3380CC4-5D6E-409C-BE32-E72D297353CC}">
              <c16:uniqueId val="{00000001-4220-4501-9F77-C4DFD0B19321}"/>
            </c:ext>
          </c:extLst>
        </c:ser>
        <c:ser>
          <c:idx val="0"/>
          <c:order val="2"/>
          <c:tx>
            <c:strRef>
              <c:f>'2 Aggregate System'!$A$15</c:f>
              <c:strCache>
                <c:ptCount val="1"/>
                <c:pt idx="0">
                  <c:v>Coarse C</c:v>
                </c:pt>
              </c:strCache>
            </c:strRef>
          </c:tx>
          <c:marker>
            <c:symbol val="triangle"/>
            <c:size val="5"/>
            <c:spPr>
              <a:solidFill>
                <a:srgbClr val="FFFFFF"/>
              </a:solidFill>
              <a:ln>
                <a:solidFill>
                  <a:srgbClr val="000000"/>
                </a:solidFill>
                <a:prstDash val="solid"/>
              </a:ln>
            </c:spPr>
          </c:marker>
          <c:cat>
            <c:strRef>
              <c:f>'2 Aggregate System'!$A$26:$A$38</c:f>
              <c:strCache>
                <c:ptCount val="13"/>
                <c:pt idx="0">
                  <c:v>2"</c:v>
                </c:pt>
                <c:pt idx="1">
                  <c:v>1 1/2"</c:v>
                </c:pt>
                <c:pt idx="2">
                  <c:v>1"</c:v>
                </c:pt>
                <c:pt idx="3">
                  <c:v>3/4"</c:v>
                </c:pt>
                <c:pt idx="4">
                  <c:v>1/2"</c:v>
                </c:pt>
                <c:pt idx="5">
                  <c:v>3/8"</c:v>
                </c:pt>
                <c:pt idx="6">
                  <c:v># 4</c:v>
                </c:pt>
                <c:pt idx="7">
                  <c:v># 8</c:v>
                </c:pt>
                <c:pt idx="8">
                  <c:v># 16</c:v>
                </c:pt>
                <c:pt idx="9">
                  <c:v># 30</c:v>
                </c:pt>
                <c:pt idx="10">
                  <c:v># 50</c:v>
                </c:pt>
                <c:pt idx="11">
                  <c:v># 100</c:v>
                </c:pt>
                <c:pt idx="12">
                  <c:v># 200</c:v>
                </c:pt>
              </c:strCache>
            </c:strRef>
          </c:cat>
          <c:val>
            <c:numRef>
              <c:f>'2 Aggregate System'!$D$26:$D$38</c:f>
              <c:numCache>
                <c:formatCode>0.0</c:formatCode>
                <c:ptCount val="13"/>
              </c:numCache>
            </c:numRef>
          </c:val>
          <c:smooth val="0"/>
          <c:extLst>
            <c:ext xmlns:c16="http://schemas.microsoft.com/office/drawing/2014/chart" uri="{C3380CC4-5D6E-409C-BE32-E72D297353CC}">
              <c16:uniqueId val="{00000002-4220-4501-9F77-C4DFD0B19321}"/>
            </c:ext>
          </c:extLst>
        </c:ser>
        <c:ser>
          <c:idx val="1"/>
          <c:order val="3"/>
          <c:tx>
            <c:strRef>
              <c:f>'2 Aggregate System'!$A$16</c:f>
              <c:strCache>
                <c:ptCount val="1"/>
                <c:pt idx="0">
                  <c:v>Fine A</c:v>
                </c:pt>
              </c:strCache>
            </c:strRef>
          </c:tx>
          <c:val>
            <c:numRef>
              <c:f>'2 Aggregate System'!$E$26:$E$38</c:f>
              <c:numCache>
                <c:formatCode>0.0</c:formatCode>
                <c:ptCount val="13"/>
              </c:numCache>
            </c:numRef>
          </c:val>
          <c:smooth val="0"/>
          <c:extLst>
            <c:ext xmlns:c16="http://schemas.microsoft.com/office/drawing/2014/chart" uri="{C3380CC4-5D6E-409C-BE32-E72D297353CC}">
              <c16:uniqueId val="{00000003-4220-4501-9F77-C4DFD0B19321}"/>
            </c:ext>
          </c:extLst>
        </c:ser>
        <c:ser>
          <c:idx val="2"/>
          <c:order val="4"/>
          <c:tx>
            <c:strRef>
              <c:f>'2 Aggregate System'!$A$17</c:f>
              <c:strCache>
                <c:ptCount val="1"/>
                <c:pt idx="0">
                  <c:v>Fine B</c:v>
                </c:pt>
              </c:strCache>
            </c:strRef>
          </c:tx>
          <c:val>
            <c:numRef>
              <c:f>'2 Aggregate System'!$F$26:$F$38</c:f>
              <c:numCache>
                <c:formatCode>0.0</c:formatCode>
                <c:ptCount val="13"/>
              </c:numCache>
            </c:numRef>
          </c:val>
          <c:smooth val="0"/>
          <c:extLst>
            <c:ext xmlns:c16="http://schemas.microsoft.com/office/drawing/2014/chart" uri="{C3380CC4-5D6E-409C-BE32-E72D297353CC}">
              <c16:uniqueId val="{00000004-4220-4501-9F77-C4DFD0B19321}"/>
            </c:ext>
          </c:extLst>
        </c:ser>
        <c:dLbls>
          <c:showLegendKey val="0"/>
          <c:showVal val="0"/>
          <c:showCatName val="0"/>
          <c:showSerName val="0"/>
          <c:showPercent val="0"/>
          <c:showBubbleSize val="0"/>
        </c:dLbls>
        <c:marker val="1"/>
        <c:smooth val="0"/>
        <c:axId val="241589976"/>
        <c:axId val="242646392"/>
      </c:lineChart>
      <c:catAx>
        <c:axId val="241589976"/>
        <c:scaling>
          <c:orientation val="minMax"/>
        </c:scaling>
        <c:delete val="0"/>
        <c:axPos val="b"/>
        <c:majorGridlines>
          <c:spPr>
            <a:ln>
              <a:solidFill>
                <a:schemeClr val="bg1">
                  <a:lumMod val="50000"/>
                </a:schemeClr>
              </a:solidFill>
            </a:ln>
          </c:spPr>
        </c:majorGridlines>
        <c:title>
          <c:tx>
            <c:rich>
              <a:bodyPr/>
              <a:lstStyle/>
              <a:p>
                <a:pPr>
                  <a:defRPr sz="1200" b="1" i="0" u="none" strike="noStrike" baseline="0">
                    <a:solidFill>
                      <a:srgbClr val="000000"/>
                    </a:solidFill>
                    <a:latin typeface="Arial"/>
                    <a:ea typeface="Arial"/>
                    <a:cs typeface="Arial"/>
                  </a:defRPr>
                </a:pPr>
                <a:r>
                  <a:rPr lang="en-US"/>
                  <a:t>Sieve</a:t>
                </a:r>
              </a:p>
            </c:rich>
          </c:tx>
          <c:layout>
            <c:manualLayout>
              <c:xMode val="edge"/>
              <c:yMode val="edge"/>
              <c:x val="0.43772972707235747"/>
              <c:y val="0.8702118106241582"/>
            </c:manualLayout>
          </c:layout>
          <c:overlay val="0"/>
          <c:spPr>
            <a:noFill/>
            <a:ln w="25400">
              <a:noFill/>
            </a:ln>
          </c:spPr>
        </c:title>
        <c:numFmt formatCode="General" sourceLinked="1"/>
        <c:majorTickMark val="out"/>
        <c:minorTickMark val="none"/>
        <c:tickLblPos val="nextTo"/>
        <c:spPr>
          <a:ln w="3175">
            <a:solidFill>
              <a:schemeClr val="bg1">
                <a:lumMod val="50000"/>
              </a:schemeClr>
            </a:solidFill>
            <a:prstDash val="solid"/>
          </a:ln>
        </c:spPr>
        <c:txPr>
          <a:bodyPr rot="0" vert="horz"/>
          <a:lstStyle/>
          <a:p>
            <a:pPr>
              <a:defRPr sz="1125" b="1" i="0" u="none" strike="noStrike" baseline="0">
                <a:solidFill>
                  <a:srgbClr val="000000"/>
                </a:solidFill>
                <a:latin typeface="Arial"/>
                <a:ea typeface="Arial"/>
                <a:cs typeface="Arial"/>
              </a:defRPr>
            </a:pPr>
            <a:endParaRPr lang="en-US"/>
          </a:p>
        </c:txPr>
        <c:crossAx val="242646392"/>
        <c:crosses val="autoZero"/>
        <c:auto val="1"/>
        <c:lblAlgn val="ctr"/>
        <c:lblOffset val="100"/>
        <c:tickLblSkip val="1"/>
        <c:tickMarkSkip val="1"/>
        <c:noMultiLvlLbl val="0"/>
      </c:catAx>
      <c:valAx>
        <c:axId val="242646392"/>
        <c:scaling>
          <c:orientation val="minMax"/>
          <c:max val="100"/>
          <c:min val="0"/>
        </c:scaling>
        <c:delete val="0"/>
        <c:axPos val="r"/>
        <c:majorGridlines>
          <c:spPr>
            <a:ln w="3175">
              <a:solidFill>
                <a:schemeClr val="bg1">
                  <a:lumMod val="50000"/>
                </a:schemeClr>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Percent Passing, % Weight</a:t>
                </a:r>
              </a:p>
            </c:rich>
          </c:tx>
          <c:layout>
            <c:manualLayout>
              <c:xMode val="edge"/>
              <c:yMode val="edge"/>
              <c:x val="2.8451048478952527E-2"/>
              <c:y val="0.17709530851223759"/>
            </c:manualLayout>
          </c:layout>
          <c:overlay val="0"/>
          <c:spPr>
            <a:noFill/>
            <a:ln w="25400">
              <a:noFill/>
            </a:ln>
          </c:spPr>
        </c:title>
        <c:numFmt formatCode="0.0" sourceLinked="1"/>
        <c:majorTickMark val="out"/>
        <c:minorTickMark val="none"/>
        <c:tickLblPos val="nextTo"/>
        <c:spPr>
          <a:ln w="3175">
            <a:solidFill>
              <a:srgbClr val="000000"/>
            </a:solidFill>
            <a:prstDash val="solid"/>
          </a:ln>
        </c:spPr>
        <c:txPr>
          <a:bodyPr rot="0" vert="horz"/>
          <a:lstStyle/>
          <a:p>
            <a:pPr>
              <a:defRPr sz="1200" b="1" i="0" u="none" strike="noStrike" baseline="0">
                <a:solidFill>
                  <a:srgbClr val="000000"/>
                </a:solidFill>
                <a:latin typeface="Arial"/>
                <a:ea typeface="Arial"/>
                <a:cs typeface="Arial"/>
              </a:defRPr>
            </a:pPr>
            <a:endParaRPr lang="en-US"/>
          </a:p>
        </c:txPr>
        <c:crossAx val="241589976"/>
        <c:crosses val="max"/>
        <c:crossBetween val="midCat"/>
        <c:majorUnit val="20"/>
      </c:valAx>
      <c:spPr>
        <a:solidFill>
          <a:srgbClr val="FFFFFF"/>
        </a:solidFill>
        <a:ln w="3175">
          <a:solidFill>
            <a:srgbClr val="000000"/>
          </a:solidFill>
          <a:prstDash val="solid"/>
        </a:ln>
      </c:spPr>
    </c:plotArea>
    <c:legend>
      <c:legendPos val="b"/>
      <c:layout>
        <c:manualLayout>
          <c:xMode val="edge"/>
          <c:yMode val="edge"/>
          <c:x val="6.4852247267218555E-2"/>
          <c:y val="0.92078312784638139"/>
          <c:w val="0.82404720221626826"/>
          <c:h val="5.1445519555114103E-2"/>
        </c:manualLayout>
      </c:layout>
      <c:overlay val="0"/>
      <c:spPr>
        <a:solidFill>
          <a:srgbClr val="FFFFFF"/>
        </a:solidFill>
        <a:ln w="3175">
          <a:solidFill>
            <a:srgbClr val="000000"/>
          </a:solidFill>
          <a:prstDash val="solid"/>
        </a:ln>
      </c:spPr>
      <c:txPr>
        <a:bodyPr/>
        <a:lstStyle/>
        <a:p>
          <a:pPr>
            <a:defRPr sz="965"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12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Times New Roman"/>
                <a:ea typeface="Times New Roman"/>
                <a:cs typeface="Times New Roman"/>
              </a:defRPr>
            </a:pPr>
            <a:r>
              <a:rPr lang="en-US" sz="2000">
                <a:latin typeface="+mn-lt"/>
              </a:rPr>
              <a:t>Percent</a:t>
            </a:r>
            <a:r>
              <a:rPr lang="en-US" sz="2000" baseline="0">
                <a:latin typeface="+mn-lt"/>
              </a:rPr>
              <a:t> Retained by Weight</a:t>
            </a:r>
            <a:r>
              <a:rPr lang="en-US" sz="2000">
                <a:latin typeface="+mn-lt"/>
              </a:rPr>
              <a:t> </a:t>
            </a:r>
          </a:p>
        </c:rich>
      </c:tx>
      <c:layout>
        <c:manualLayout>
          <c:xMode val="edge"/>
          <c:yMode val="edge"/>
          <c:x val="0.29420218633300654"/>
          <c:y val="1.6542408538789223E-2"/>
        </c:manualLayout>
      </c:layout>
      <c:overlay val="1"/>
    </c:title>
    <c:autoTitleDeleted val="0"/>
    <c:plotArea>
      <c:layout>
        <c:manualLayout>
          <c:layoutTarget val="inner"/>
          <c:xMode val="edge"/>
          <c:yMode val="edge"/>
          <c:x val="0.1288565179352581"/>
          <c:y val="0.13073665791776029"/>
          <c:w val="0.82600880338685356"/>
          <c:h val="0.67934782608695654"/>
        </c:manualLayout>
      </c:layout>
      <c:lineChart>
        <c:grouping val="standard"/>
        <c:varyColors val="0"/>
        <c:ser>
          <c:idx val="3"/>
          <c:order val="0"/>
          <c:tx>
            <c:strRef>
              <c:f>'2 Aggregate System'!$A$13</c:f>
              <c:strCache>
                <c:ptCount val="1"/>
                <c:pt idx="0">
                  <c:v>Coarse A</c:v>
                </c:pt>
              </c:strCache>
            </c:strRef>
          </c:tx>
          <c:spPr>
            <a:ln>
              <a:solidFill>
                <a:srgbClr val="0070C0"/>
              </a:solidFill>
            </a:ln>
          </c:spPr>
          <c:marker>
            <c:symbol val="circle"/>
            <c:size val="6"/>
            <c:spPr>
              <a:noFill/>
              <a:ln>
                <a:solidFill>
                  <a:schemeClr val="tx1"/>
                </a:solidFill>
                <a:prstDash val="solid"/>
              </a:ln>
            </c:spPr>
          </c:marker>
          <c:cat>
            <c:strRef>
              <c:f>'2 Aggregate System'!$A$26:$A$38</c:f>
              <c:strCache>
                <c:ptCount val="13"/>
                <c:pt idx="0">
                  <c:v>2"</c:v>
                </c:pt>
                <c:pt idx="1">
                  <c:v>1 1/2"</c:v>
                </c:pt>
                <c:pt idx="2">
                  <c:v>1"</c:v>
                </c:pt>
                <c:pt idx="3">
                  <c:v>3/4"</c:v>
                </c:pt>
                <c:pt idx="4">
                  <c:v>1/2"</c:v>
                </c:pt>
                <c:pt idx="5">
                  <c:v>3/8"</c:v>
                </c:pt>
                <c:pt idx="6">
                  <c:v># 4</c:v>
                </c:pt>
                <c:pt idx="7">
                  <c:v># 8</c:v>
                </c:pt>
                <c:pt idx="8">
                  <c:v># 16</c:v>
                </c:pt>
                <c:pt idx="9">
                  <c:v># 30</c:v>
                </c:pt>
                <c:pt idx="10">
                  <c:v># 50</c:v>
                </c:pt>
                <c:pt idx="11">
                  <c:v># 100</c:v>
                </c:pt>
                <c:pt idx="12">
                  <c:v># 200</c:v>
                </c:pt>
              </c:strCache>
            </c:strRef>
          </c:cat>
          <c:val>
            <c:numRef>
              <c:f>'6 Agg Analysis'!$AB$8:$AB$20</c:f>
              <c:numCache>
                <c:formatCode>0.000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00-6449-4FD8-BB7A-45178D975F74}"/>
            </c:ext>
          </c:extLst>
        </c:ser>
        <c:ser>
          <c:idx val="4"/>
          <c:order val="1"/>
          <c:tx>
            <c:strRef>
              <c:f>'2 Aggregate System'!$A$14</c:f>
              <c:strCache>
                <c:ptCount val="1"/>
                <c:pt idx="0">
                  <c:v>Coarse B</c:v>
                </c:pt>
              </c:strCache>
            </c:strRef>
          </c:tx>
          <c:spPr>
            <a:ln>
              <a:solidFill>
                <a:srgbClr val="00B0F0"/>
              </a:solidFill>
            </a:ln>
          </c:spPr>
          <c:marker>
            <c:symbol val="square"/>
            <c:size val="5"/>
            <c:spPr>
              <a:noFill/>
              <a:ln>
                <a:solidFill>
                  <a:schemeClr val="tx1"/>
                </a:solidFill>
                <a:prstDash val="solid"/>
              </a:ln>
            </c:spPr>
          </c:marker>
          <c:cat>
            <c:strRef>
              <c:f>'2 Aggregate System'!$A$26:$A$38</c:f>
              <c:strCache>
                <c:ptCount val="13"/>
                <c:pt idx="0">
                  <c:v>2"</c:v>
                </c:pt>
                <c:pt idx="1">
                  <c:v>1 1/2"</c:v>
                </c:pt>
                <c:pt idx="2">
                  <c:v>1"</c:v>
                </c:pt>
                <c:pt idx="3">
                  <c:v>3/4"</c:v>
                </c:pt>
                <c:pt idx="4">
                  <c:v>1/2"</c:v>
                </c:pt>
                <c:pt idx="5">
                  <c:v>3/8"</c:v>
                </c:pt>
                <c:pt idx="6">
                  <c:v># 4</c:v>
                </c:pt>
                <c:pt idx="7">
                  <c:v># 8</c:v>
                </c:pt>
                <c:pt idx="8">
                  <c:v># 16</c:v>
                </c:pt>
                <c:pt idx="9">
                  <c:v># 30</c:v>
                </c:pt>
                <c:pt idx="10">
                  <c:v># 50</c:v>
                </c:pt>
                <c:pt idx="11">
                  <c:v># 100</c:v>
                </c:pt>
                <c:pt idx="12">
                  <c:v># 200</c:v>
                </c:pt>
              </c:strCache>
            </c:strRef>
          </c:cat>
          <c:val>
            <c:numRef>
              <c:f>'6 Agg Analysis'!$AC$8:$AC$20</c:f>
              <c:numCache>
                <c:formatCode>0.000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01-6449-4FD8-BB7A-45178D975F74}"/>
            </c:ext>
          </c:extLst>
        </c:ser>
        <c:ser>
          <c:idx val="0"/>
          <c:order val="2"/>
          <c:tx>
            <c:strRef>
              <c:f>'2 Aggregate System'!$A$15</c:f>
              <c:strCache>
                <c:ptCount val="1"/>
                <c:pt idx="0">
                  <c:v>Coarse C</c:v>
                </c:pt>
              </c:strCache>
            </c:strRef>
          </c:tx>
          <c:spPr>
            <a:ln>
              <a:solidFill>
                <a:schemeClr val="accent1">
                  <a:lumMod val="60000"/>
                  <a:lumOff val="40000"/>
                </a:schemeClr>
              </a:solidFill>
            </a:ln>
          </c:spPr>
          <c:marker>
            <c:symbol val="triangle"/>
            <c:size val="5"/>
            <c:spPr>
              <a:solidFill>
                <a:srgbClr val="FFFFFF"/>
              </a:solidFill>
              <a:ln>
                <a:solidFill>
                  <a:schemeClr val="tx1"/>
                </a:solidFill>
                <a:prstDash val="solid"/>
              </a:ln>
            </c:spPr>
          </c:marker>
          <c:cat>
            <c:strRef>
              <c:f>'2 Aggregate System'!$A$26:$A$38</c:f>
              <c:strCache>
                <c:ptCount val="13"/>
                <c:pt idx="0">
                  <c:v>2"</c:v>
                </c:pt>
                <c:pt idx="1">
                  <c:v>1 1/2"</c:v>
                </c:pt>
                <c:pt idx="2">
                  <c:v>1"</c:v>
                </c:pt>
                <c:pt idx="3">
                  <c:v>3/4"</c:v>
                </c:pt>
                <c:pt idx="4">
                  <c:v>1/2"</c:v>
                </c:pt>
                <c:pt idx="5">
                  <c:v>3/8"</c:v>
                </c:pt>
                <c:pt idx="6">
                  <c:v># 4</c:v>
                </c:pt>
                <c:pt idx="7">
                  <c:v># 8</c:v>
                </c:pt>
                <c:pt idx="8">
                  <c:v># 16</c:v>
                </c:pt>
                <c:pt idx="9">
                  <c:v># 30</c:v>
                </c:pt>
                <c:pt idx="10">
                  <c:v># 50</c:v>
                </c:pt>
                <c:pt idx="11">
                  <c:v># 100</c:v>
                </c:pt>
                <c:pt idx="12">
                  <c:v># 200</c:v>
                </c:pt>
              </c:strCache>
            </c:strRef>
          </c:cat>
          <c:val>
            <c:numRef>
              <c:f>'6 Agg Analysis'!$AD$8:$AD$20</c:f>
              <c:numCache>
                <c:formatCode>0.000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02-6449-4FD8-BB7A-45178D975F74}"/>
            </c:ext>
          </c:extLst>
        </c:ser>
        <c:ser>
          <c:idx val="1"/>
          <c:order val="3"/>
          <c:tx>
            <c:strRef>
              <c:f>'2 Aggregate System'!$A$16</c:f>
              <c:strCache>
                <c:ptCount val="1"/>
                <c:pt idx="0">
                  <c:v>Fine A</c:v>
                </c:pt>
              </c:strCache>
            </c:strRef>
          </c:tx>
          <c:val>
            <c:numRef>
              <c:f>'6 Agg Analysis'!$AE$8:$AE$20</c:f>
              <c:numCache>
                <c:formatCode>0.000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03-6449-4FD8-BB7A-45178D975F74}"/>
            </c:ext>
          </c:extLst>
        </c:ser>
        <c:ser>
          <c:idx val="2"/>
          <c:order val="4"/>
          <c:tx>
            <c:strRef>
              <c:f>'2 Aggregate System'!$A$17</c:f>
              <c:strCache>
                <c:ptCount val="1"/>
                <c:pt idx="0">
                  <c:v>Fine B</c:v>
                </c:pt>
              </c:strCache>
            </c:strRef>
          </c:tx>
          <c:spPr>
            <a:ln>
              <a:solidFill>
                <a:schemeClr val="accent4"/>
              </a:solidFill>
            </a:ln>
          </c:spPr>
          <c:marker>
            <c:spPr>
              <a:solidFill>
                <a:schemeClr val="accent4"/>
              </a:solidFill>
              <a:ln>
                <a:solidFill>
                  <a:schemeClr val="accent4"/>
                </a:solidFill>
              </a:ln>
            </c:spPr>
          </c:marker>
          <c:val>
            <c:numRef>
              <c:f>'6 Agg Analysis'!$AF$8:$AF$20</c:f>
              <c:numCache>
                <c:formatCode>0.000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04-6449-4FD8-BB7A-45178D975F74}"/>
            </c:ext>
          </c:extLst>
        </c:ser>
        <c:dLbls>
          <c:showLegendKey val="0"/>
          <c:showVal val="0"/>
          <c:showCatName val="0"/>
          <c:showSerName val="0"/>
          <c:showPercent val="0"/>
          <c:showBubbleSize val="0"/>
        </c:dLbls>
        <c:marker val="1"/>
        <c:smooth val="0"/>
        <c:axId val="241589976"/>
        <c:axId val="242646392"/>
      </c:lineChart>
      <c:catAx>
        <c:axId val="241589976"/>
        <c:scaling>
          <c:orientation val="minMax"/>
        </c:scaling>
        <c:delete val="0"/>
        <c:axPos val="b"/>
        <c:majorGridlines>
          <c:spPr>
            <a:ln>
              <a:solidFill>
                <a:schemeClr val="bg1">
                  <a:lumMod val="50000"/>
                </a:schemeClr>
              </a:solidFill>
            </a:ln>
          </c:spPr>
        </c:majorGridlines>
        <c:title>
          <c:tx>
            <c:rich>
              <a:bodyPr/>
              <a:lstStyle/>
              <a:p>
                <a:pPr>
                  <a:defRPr sz="1200" b="1" i="0" u="none" strike="noStrike" baseline="0">
                    <a:solidFill>
                      <a:srgbClr val="000000"/>
                    </a:solidFill>
                    <a:latin typeface="Arial"/>
                    <a:ea typeface="Arial"/>
                    <a:cs typeface="Arial"/>
                  </a:defRPr>
                </a:pPr>
                <a:r>
                  <a:rPr lang="en-US" sz="1600">
                    <a:latin typeface="+mn-lt"/>
                  </a:rPr>
                  <a:t>Sieve</a:t>
                </a:r>
              </a:p>
            </c:rich>
          </c:tx>
          <c:layout>
            <c:manualLayout>
              <c:xMode val="edge"/>
              <c:yMode val="edge"/>
              <c:x val="0.43772976845860839"/>
              <c:y val="0.910326082121090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25" b="1" i="0" u="none" strike="noStrike" baseline="0">
                <a:solidFill>
                  <a:srgbClr val="000000"/>
                </a:solidFill>
                <a:latin typeface="+mn-lt"/>
                <a:ea typeface="Arial"/>
                <a:cs typeface="Arial"/>
              </a:defRPr>
            </a:pPr>
            <a:endParaRPr lang="en-US"/>
          </a:p>
        </c:txPr>
        <c:crossAx val="242646392"/>
        <c:crosses val="autoZero"/>
        <c:auto val="1"/>
        <c:lblAlgn val="ctr"/>
        <c:lblOffset val="100"/>
        <c:tickLblSkip val="1"/>
        <c:tickMarkSkip val="1"/>
        <c:noMultiLvlLbl val="0"/>
      </c:catAx>
      <c:valAx>
        <c:axId val="242646392"/>
        <c:scaling>
          <c:orientation val="minMax"/>
          <c:max val="100"/>
        </c:scaling>
        <c:delete val="0"/>
        <c:axPos val="r"/>
        <c:majorGridlines>
          <c:spPr>
            <a:ln w="3175">
              <a:solidFill>
                <a:schemeClr val="bg1">
                  <a:lumMod val="50000"/>
                </a:schemeClr>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sz="1600">
                    <a:latin typeface="+mn-lt"/>
                  </a:rPr>
                  <a:t>Percent Retained, %</a:t>
                </a:r>
                <a:r>
                  <a:rPr lang="en-US" sz="1600" baseline="0">
                    <a:latin typeface="+mn-lt"/>
                  </a:rPr>
                  <a:t> Weight</a:t>
                </a:r>
                <a:endParaRPr lang="en-US" sz="1600">
                  <a:latin typeface="+mn-lt"/>
                </a:endParaRPr>
              </a:p>
            </c:rich>
          </c:tx>
          <c:layout>
            <c:manualLayout>
              <c:xMode val="edge"/>
              <c:yMode val="edge"/>
              <c:x val="2.8451048478952527E-2"/>
              <c:y val="0.1770953085122375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200" b="1" i="0" u="none" strike="noStrike" baseline="0">
                <a:solidFill>
                  <a:srgbClr val="000000"/>
                </a:solidFill>
                <a:latin typeface="Arial"/>
                <a:ea typeface="Arial"/>
                <a:cs typeface="Arial"/>
              </a:defRPr>
            </a:pPr>
            <a:endParaRPr lang="en-US"/>
          </a:p>
        </c:txPr>
        <c:crossAx val="241589976"/>
        <c:crosses val="max"/>
        <c:crossBetween val="midCat"/>
        <c:majorUnit val="20"/>
      </c:valAx>
      <c:spPr>
        <a:solidFill>
          <a:srgbClr val="FFFFFF"/>
        </a:solidFill>
        <a:ln w="3175">
          <a:solidFill>
            <a:srgbClr val="000000"/>
          </a:solidFill>
          <a:prstDash val="solid"/>
        </a:ln>
      </c:spPr>
    </c:plotArea>
    <c:legend>
      <c:legendPos val="r"/>
      <c:layout>
        <c:manualLayout>
          <c:xMode val="edge"/>
          <c:yMode val="edge"/>
          <c:x val="0.73368913644834133"/>
          <c:y val="0.12811371470132499"/>
          <c:w val="0.19996009684691501"/>
          <c:h val="0.30865442896372336"/>
        </c:manualLayout>
      </c:layout>
      <c:overlay val="0"/>
      <c:spPr>
        <a:solidFill>
          <a:srgbClr val="FFFFFF"/>
        </a:solidFill>
        <a:ln w="3175">
          <a:solidFill>
            <a:srgbClr val="000000"/>
          </a:solidFill>
          <a:prstDash val="solid"/>
        </a:ln>
      </c:spPr>
      <c:txPr>
        <a:bodyPr/>
        <a:lstStyle/>
        <a:p>
          <a:pPr>
            <a:defRPr sz="965"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12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Times New Roman"/>
                <a:ea typeface="Times New Roman"/>
                <a:cs typeface="Times New Roman"/>
              </a:defRPr>
            </a:pPr>
            <a:r>
              <a:rPr lang="en-US" sz="2000">
                <a:latin typeface="+mn-lt"/>
              </a:rPr>
              <a:t>Tarantula Curve</a:t>
            </a:r>
          </a:p>
        </c:rich>
      </c:tx>
      <c:overlay val="1"/>
    </c:title>
    <c:autoTitleDeleted val="0"/>
    <c:plotArea>
      <c:layout>
        <c:manualLayout>
          <c:layoutTarget val="inner"/>
          <c:xMode val="edge"/>
          <c:yMode val="edge"/>
          <c:x val="0.15482723351269623"/>
          <c:y val="0.12683727034120734"/>
          <c:w val="0.7941726330768889"/>
          <c:h val="0.68202810586176732"/>
        </c:manualLayout>
      </c:layout>
      <c:lineChart>
        <c:grouping val="standard"/>
        <c:varyColors val="0"/>
        <c:ser>
          <c:idx val="0"/>
          <c:order val="0"/>
          <c:spPr>
            <a:ln>
              <a:solidFill>
                <a:srgbClr val="FF0000"/>
              </a:solidFill>
            </a:ln>
          </c:spPr>
          <c:marker>
            <c:symbol val="diamond"/>
            <c:size val="9"/>
            <c:spPr>
              <a:solidFill>
                <a:srgbClr val="FF0000"/>
              </a:solidFill>
              <a:ln w="9525">
                <a:solidFill>
                  <a:srgbClr val="FF0000"/>
                </a:solidFill>
              </a:ln>
            </c:spPr>
          </c:marker>
          <c:cat>
            <c:strRef>
              <c:f>'2 Aggregate System'!$A$26:$A$38</c:f>
              <c:strCache>
                <c:ptCount val="13"/>
                <c:pt idx="0">
                  <c:v>2"</c:v>
                </c:pt>
                <c:pt idx="1">
                  <c:v>1 1/2"</c:v>
                </c:pt>
                <c:pt idx="2">
                  <c:v>1"</c:v>
                </c:pt>
                <c:pt idx="3">
                  <c:v>3/4"</c:v>
                </c:pt>
                <c:pt idx="4">
                  <c:v>1/2"</c:v>
                </c:pt>
                <c:pt idx="5">
                  <c:v>3/8"</c:v>
                </c:pt>
                <c:pt idx="6">
                  <c:v># 4</c:v>
                </c:pt>
                <c:pt idx="7">
                  <c:v># 8</c:v>
                </c:pt>
                <c:pt idx="8">
                  <c:v># 16</c:v>
                </c:pt>
                <c:pt idx="9">
                  <c:v># 30</c:v>
                </c:pt>
                <c:pt idx="10">
                  <c:v># 50</c:v>
                </c:pt>
                <c:pt idx="11">
                  <c:v># 100</c:v>
                </c:pt>
                <c:pt idx="12">
                  <c:v># 200</c:v>
                </c:pt>
              </c:strCache>
            </c:strRef>
          </c:cat>
          <c:val>
            <c:numRef>
              <c:f>'4 Mix Design'!$C$44:$C$56</c:f>
              <c:numCache>
                <c:formatCode>0.0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00-4AC6-4D9F-AAD9-545E41FEF6BA}"/>
            </c:ext>
          </c:extLst>
        </c:ser>
        <c:ser>
          <c:idx val="1"/>
          <c:order val="1"/>
          <c:spPr>
            <a:ln w="38100">
              <a:solidFill>
                <a:srgbClr val="0000FF"/>
              </a:solidFill>
              <a:prstDash val="sysDash"/>
            </a:ln>
          </c:spPr>
          <c:marker>
            <c:symbol val="none"/>
          </c:marker>
          <c:cat>
            <c:strRef>
              <c:f>'2 Aggregate System'!$A$26:$A$38</c:f>
              <c:strCache>
                <c:ptCount val="13"/>
                <c:pt idx="0">
                  <c:v>2"</c:v>
                </c:pt>
                <c:pt idx="1">
                  <c:v>1 1/2"</c:v>
                </c:pt>
                <c:pt idx="2">
                  <c:v>1"</c:v>
                </c:pt>
                <c:pt idx="3">
                  <c:v>3/4"</c:v>
                </c:pt>
                <c:pt idx="4">
                  <c:v>1/2"</c:v>
                </c:pt>
                <c:pt idx="5">
                  <c:v>3/8"</c:v>
                </c:pt>
                <c:pt idx="6">
                  <c:v># 4</c:v>
                </c:pt>
                <c:pt idx="7">
                  <c:v># 8</c:v>
                </c:pt>
                <c:pt idx="8">
                  <c:v># 16</c:v>
                </c:pt>
                <c:pt idx="9">
                  <c:v># 30</c:v>
                </c:pt>
                <c:pt idx="10">
                  <c:v># 50</c:v>
                </c:pt>
                <c:pt idx="11">
                  <c:v># 100</c:v>
                </c:pt>
                <c:pt idx="12">
                  <c:v># 200</c:v>
                </c:pt>
              </c:strCache>
            </c:strRef>
          </c:cat>
          <c:val>
            <c:numRef>
              <c:f>'6 Agg Analysis'!$Q$26:$Q$38</c:f>
              <c:numCache>
                <c:formatCode>0</c:formatCode>
                <c:ptCount val="13"/>
                <c:pt idx="0">
                  <c:v>0</c:v>
                </c:pt>
                <c:pt idx="1">
                  <c:v>0</c:v>
                </c:pt>
                <c:pt idx="2">
                  <c:v>0</c:v>
                </c:pt>
                <c:pt idx="3">
                  <c:v>0</c:v>
                </c:pt>
                <c:pt idx="4">
                  <c:v>4</c:v>
                </c:pt>
                <c:pt idx="5">
                  <c:v>4</c:v>
                </c:pt>
                <c:pt idx="6">
                  <c:v>4</c:v>
                </c:pt>
                <c:pt idx="7">
                  <c:v>0</c:v>
                </c:pt>
                <c:pt idx="8">
                  <c:v>0</c:v>
                </c:pt>
                <c:pt idx="9">
                  <c:v>4</c:v>
                </c:pt>
                <c:pt idx="10">
                  <c:v>4</c:v>
                </c:pt>
                <c:pt idx="11">
                  <c:v>0</c:v>
                </c:pt>
                <c:pt idx="12">
                  <c:v>0</c:v>
                </c:pt>
              </c:numCache>
            </c:numRef>
          </c:val>
          <c:smooth val="0"/>
          <c:extLst>
            <c:ext xmlns:c16="http://schemas.microsoft.com/office/drawing/2014/chart" uri="{C3380CC4-5D6E-409C-BE32-E72D297353CC}">
              <c16:uniqueId val="{00000001-4AC6-4D9F-AAD9-545E41FEF6BA}"/>
            </c:ext>
          </c:extLst>
        </c:ser>
        <c:ser>
          <c:idx val="2"/>
          <c:order val="2"/>
          <c:spPr>
            <a:ln w="38100" cmpd="sng">
              <a:solidFill>
                <a:srgbClr val="0000FF"/>
              </a:solidFill>
              <a:prstDash val="sysDash"/>
            </a:ln>
          </c:spPr>
          <c:marker>
            <c:symbol val="none"/>
          </c:marker>
          <c:cat>
            <c:strRef>
              <c:f>'2 Aggregate System'!$A$26:$A$38</c:f>
              <c:strCache>
                <c:ptCount val="13"/>
                <c:pt idx="0">
                  <c:v>2"</c:v>
                </c:pt>
                <c:pt idx="1">
                  <c:v>1 1/2"</c:v>
                </c:pt>
                <c:pt idx="2">
                  <c:v>1"</c:v>
                </c:pt>
                <c:pt idx="3">
                  <c:v>3/4"</c:v>
                </c:pt>
                <c:pt idx="4">
                  <c:v>1/2"</c:v>
                </c:pt>
                <c:pt idx="5">
                  <c:v>3/8"</c:v>
                </c:pt>
                <c:pt idx="6">
                  <c:v># 4</c:v>
                </c:pt>
                <c:pt idx="7">
                  <c:v># 8</c:v>
                </c:pt>
                <c:pt idx="8">
                  <c:v># 16</c:v>
                </c:pt>
                <c:pt idx="9">
                  <c:v># 30</c:v>
                </c:pt>
                <c:pt idx="10">
                  <c:v># 50</c:v>
                </c:pt>
                <c:pt idx="11">
                  <c:v># 100</c:v>
                </c:pt>
                <c:pt idx="12">
                  <c:v># 200</c:v>
                </c:pt>
              </c:strCache>
            </c:strRef>
          </c:cat>
          <c:val>
            <c:numRef>
              <c:f>'6 Agg Analysis'!$P$26:$P$38</c:f>
              <c:numCache>
                <c:formatCode>0</c:formatCode>
                <c:ptCount val="13"/>
                <c:pt idx="0">
                  <c:v>0</c:v>
                </c:pt>
                <c:pt idx="1">
                  <c:v>5</c:v>
                </c:pt>
                <c:pt idx="2">
                  <c:v>16</c:v>
                </c:pt>
                <c:pt idx="3">
                  <c:v>20</c:v>
                </c:pt>
                <c:pt idx="4">
                  <c:v>20</c:v>
                </c:pt>
                <c:pt idx="5">
                  <c:v>20</c:v>
                </c:pt>
                <c:pt idx="6">
                  <c:v>20</c:v>
                </c:pt>
                <c:pt idx="7">
                  <c:v>12</c:v>
                </c:pt>
                <c:pt idx="8">
                  <c:v>12</c:v>
                </c:pt>
                <c:pt idx="9">
                  <c:v>20</c:v>
                </c:pt>
                <c:pt idx="10">
                  <c:v>20</c:v>
                </c:pt>
                <c:pt idx="11">
                  <c:v>10</c:v>
                </c:pt>
                <c:pt idx="12">
                  <c:v>5</c:v>
                </c:pt>
              </c:numCache>
            </c:numRef>
          </c:val>
          <c:smooth val="0"/>
          <c:extLst>
            <c:ext xmlns:c16="http://schemas.microsoft.com/office/drawing/2014/chart" uri="{C3380CC4-5D6E-409C-BE32-E72D297353CC}">
              <c16:uniqueId val="{00000002-4AC6-4D9F-AAD9-545E41FEF6BA}"/>
            </c:ext>
          </c:extLst>
        </c:ser>
        <c:dLbls>
          <c:showLegendKey val="0"/>
          <c:showVal val="0"/>
          <c:showCatName val="0"/>
          <c:showSerName val="0"/>
          <c:showPercent val="0"/>
          <c:showBubbleSize val="0"/>
        </c:dLbls>
        <c:marker val="1"/>
        <c:smooth val="0"/>
        <c:axId val="241588800"/>
        <c:axId val="241589192"/>
      </c:lineChart>
      <c:catAx>
        <c:axId val="241588800"/>
        <c:scaling>
          <c:orientation val="minMax"/>
        </c:scaling>
        <c:delete val="0"/>
        <c:axPos val="b"/>
        <c:majorGridlines>
          <c:spPr>
            <a:ln w="3175">
              <a:solidFill>
                <a:schemeClr val="bg1">
                  <a:lumMod val="50000"/>
                </a:schemeClr>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sz="1600">
                    <a:latin typeface="+mn-lt"/>
                  </a:rPr>
                  <a:t>Sieve</a:t>
                </a:r>
                <a:endParaRPr lang="en-US">
                  <a:latin typeface="+mn-lt"/>
                </a:endParaRPr>
              </a:p>
            </c:rich>
          </c:tx>
          <c:layout>
            <c:manualLayout>
              <c:xMode val="edge"/>
              <c:yMode val="edge"/>
              <c:x val="0.50819770104914164"/>
              <c:y val="0.90858839262428337"/>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200" b="1" i="0" u="none" strike="noStrike" baseline="0">
                <a:solidFill>
                  <a:srgbClr val="000000"/>
                </a:solidFill>
                <a:latin typeface="+mn-lt"/>
                <a:ea typeface="Arial"/>
                <a:cs typeface="Arial"/>
              </a:defRPr>
            </a:pPr>
            <a:endParaRPr lang="en-US"/>
          </a:p>
        </c:txPr>
        <c:crossAx val="241589192"/>
        <c:crosses val="autoZero"/>
        <c:auto val="0"/>
        <c:lblAlgn val="ctr"/>
        <c:lblOffset val="100"/>
        <c:tickLblSkip val="1"/>
        <c:tickMarkSkip val="1"/>
        <c:noMultiLvlLbl val="0"/>
      </c:catAx>
      <c:valAx>
        <c:axId val="241589192"/>
        <c:scaling>
          <c:orientation val="minMax"/>
        </c:scaling>
        <c:delete val="0"/>
        <c:axPos val="l"/>
        <c:majorGridlines>
          <c:spPr>
            <a:ln w="3175">
              <a:solidFill>
                <a:schemeClr val="bg1">
                  <a:lumMod val="50000"/>
                </a:schemeClr>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sz="1600">
                    <a:latin typeface="+mn-lt"/>
                  </a:rPr>
                  <a:t>Percent Retained, % Vol</a:t>
                </a:r>
              </a:p>
            </c:rich>
          </c:tx>
          <c:layout>
            <c:manualLayout>
              <c:xMode val="edge"/>
              <c:yMode val="edge"/>
              <c:x val="3.9801221076056964E-2"/>
              <c:y val="0.26038820261511708"/>
            </c:manualLayout>
          </c:layout>
          <c:overlay val="0"/>
          <c:spPr>
            <a:noFill/>
            <a:ln w="25400">
              <a:noFill/>
            </a:ln>
          </c:spPr>
        </c:title>
        <c:numFmt formatCode="0;[Red]0" sourceLinked="0"/>
        <c:majorTickMark val="out"/>
        <c:minorTickMark val="none"/>
        <c:tickLblPos val="nextTo"/>
        <c:spPr>
          <a:ln w="3175">
            <a:solidFill>
              <a:srgbClr val="000000"/>
            </a:solidFill>
            <a:prstDash val="solid"/>
          </a:ln>
        </c:spPr>
        <c:txPr>
          <a:bodyPr rot="0" vert="horz"/>
          <a:lstStyle/>
          <a:p>
            <a:pPr>
              <a:defRPr sz="1500" b="0" i="0" u="none" strike="noStrike" baseline="0">
                <a:solidFill>
                  <a:srgbClr val="000000"/>
                </a:solidFill>
                <a:latin typeface="Arial"/>
                <a:ea typeface="Arial"/>
                <a:cs typeface="Arial"/>
              </a:defRPr>
            </a:pPr>
            <a:endParaRPr lang="en-US"/>
          </a:p>
        </c:txPr>
        <c:crossAx val="241588800"/>
        <c:crosses val="autoZero"/>
        <c:crossBetween val="midCat"/>
      </c:valAx>
      <c:spPr>
        <a:noFill/>
        <a:ln w="3175">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4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Times New Roman"/>
                <a:ea typeface="Times New Roman"/>
                <a:cs typeface="Times New Roman"/>
              </a:defRPr>
            </a:pPr>
            <a:r>
              <a:rPr lang="en-US" sz="1600">
                <a:latin typeface="+mn-lt"/>
              </a:rPr>
              <a:t>Percent</a:t>
            </a:r>
            <a:r>
              <a:rPr lang="en-US" sz="1600" baseline="0">
                <a:latin typeface="+mn-lt"/>
              </a:rPr>
              <a:t> Retained</a:t>
            </a:r>
            <a:r>
              <a:rPr lang="en-US" sz="1600">
                <a:latin typeface="+mn-lt"/>
              </a:rPr>
              <a:t> by Weight</a:t>
            </a:r>
          </a:p>
        </c:rich>
      </c:tx>
      <c:layout>
        <c:manualLayout>
          <c:xMode val="edge"/>
          <c:yMode val="edge"/>
          <c:x val="0.32535616160290148"/>
          <c:y val="1.6542532544502019E-2"/>
        </c:manualLayout>
      </c:layout>
      <c:overlay val="1"/>
    </c:title>
    <c:autoTitleDeleted val="0"/>
    <c:plotArea>
      <c:layout>
        <c:manualLayout>
          <c:layoutTarget val="inner"/>
          <c:xMode val="edge"/>
          <c:yMode val="edge"/>
          <c:x val="0.1288565179352581"/>
          <c:y val="0.13073665791776029"/>
          <c:w val="0.82600880338685356"/>
          <c:h val="0.67934782608695654"/>
        </c:manualLayout>
      </c:layout>
      <c:lineChart>
        <c:grouping val="standard"/>
        <c:varyColors val="0"/>
        <c:ser>
          <c:idx val="3"/>
          <c:order val="0"/>
          <c:tx>
            <c:strRef>
              <c:f>'2 Aggregate System'!$A$13</c:f>
              <c:strCache>
                <c:ptCount val="1"/>
                <c:pt idx="0">
                  <c:v>Coarse A</c:v>
                </c:pt>
              </c:strCache>
            </c:strRef>
          </c:tx>
          <c:spPr>
            <a:ln>
              <a:solidFill>
                <a:srgbClr val="0070C0"/>
              </a:solidFill>
            </a:ln>
          </c:spPr>
          <c:marker>
            <c:symbol val="circle"/>
            <c:size val="6"/>
            <c:spPr>
              <a:noFill/>
              <a:ln>
                <a:solidFill>
                  <a:schemeClr val="tx1"/>
                </a:solidFill>
                <a:prstDash val="solid"/>
              </a:ln>
            </c:spPr>
          </c:marker>
          <c:cat>
            <c:strRef>
              <c:f>'2 Aggregate System'!$A$26:$A$38</c:f>
              <c:strCache>
                <c:ptCount val="13"/>
                <c:pt idx="0">
                  <c:v>2"</c:v>
                </c:pt>
                <c:pt idx="1">
                  <c:v>1 1/2"</c:v>
                </c:pt>
                <c:pt idx="2">
                  <c:v>1"</c:v>
                </c:pt>
                <c:pt idx="3">
                  <c:v>3/4"</c:v>
                </c:pt>
                <c:pt idx="4">
                  <c:v>1/2"</c:v>
                </c:pt>
                <c:pt idx="5">
                  <c:v>3/8"</c:v>
                </c:pt>
                <c:pt idx="6">
                  <c:v># 4</c:v>
                </c:pt>
                <c:pt idx="7">
                  <c:v># 8</c:v>
                </c:pt>
                <c:pt idx="8">
                  <c:v># 16</c:v>
                </c:pt>
                <c:pt idx="9">
                  <c:v># 30</c:v>
                </c:pt>
                <c:pt idx="10">
                  <c:v># 50</c:v>
                </c:pt>
                <c:pt idx="11">
                  <c:v># 100</c:v>
                </c:pt>
                <c:pt idx="12">
                  <c:v># 200</c:v>
                </c:pt>
              </c:strCache>
            </c:strRef>
          </c:cat>
          <c:val>
            <c:numRef>
              <c:f>'6 Agg Analysis'!$AB$8:$AB$20</c:f>
              <c:numCache>
                <c:formatCode>0.000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00-630A-4A4A-BEA8-9A61E3B1248D}"/>
            </c:ext>
          </c:extLst>
        </c:ser>
        <c:ser>
          <c:idx val="4"/>
          <c:order val="1"/>
          <c:tx>
            <c:strRef>
              <c:f>'2 Aggregate System'!$A$14</c:f>
              <c:strCache>
                <c:ptCount val="1"/>
                <c:pt idx="0">
                  <c:v>Coarse B</c:v>
                </c:pt>
              </c:strCache>
            </c:strRef>
          </c:tx>
          <c:spPr>
            <a:ln>
              <a:solidFill>
                <a:srgbClr val="00B0F0"/>
              </a:solidFill>
            </a:ln>
          </c:spPr>
          <c:marker>
            <c:symbol val="square"/>
            <c:size val="5"/>
            <c:spPr>
              <a:noFill/>
              <a:ln>
                <a:solidFill>
                  <a:schemeClr val="tx1"/>
                </a:solidFill>
                <a:prstDash val="solid"/>
              </a:ln>
            </c:spPr>
          </c:marker>
          <c:cat>
            <c:strRef>
              <c:f>'2 Aggregate System'!$A$26:$A$38</c:f>
              <c:strCache>
                <c:ptCount val="13"/>
                <c:pt idx="0">
                  <c:v>2"</c:v>
                </c:pt>
                <c:pt idx="1">
                  <c:v>1 1/2"</c:v>
                </c:pt>
                <c:pt idx="2">
                  <c:v>1"</c:v>
                </c:pt>
                <c:pt idx="3">
                  <c:v>3/4"</c:v>
                </c:pt>
                <c:pt idx="4">
                  <c:v>1/2"</c:v>
                </c:pt>
                <c:pt idx="5">
                  <c:v>3/8"</c:v>
                </c:pt>
                <c:pt idx="6">
                  <c:v># 4</c:v>
                </c:pt>
                <c:pt idx="7">
                  <c:v># 8</c:v>
                </c:pt>
                <c:pt idx="8">
                  <c:v># 16</c:v>
                </c:pt>
                <c:pt idx="9">
                  <c:v># 30</c:v>
                </c:pt>
                <c:pt idx="10">
                  <c:v># 50</c:v>
                </c:pt>
                <c:pt idx="11">
                  <c:v># 100</c:v>
                </c:pt>
                <c:pt idx="12">
                  <c:v># 200</c:v>
                </c:pt>
              </c:strCache>
            </c:strRef>
          </c:cat>
          <c:val>
            <c:numRef>
              <c:f>'6 Agg Analysis'!$AC$8:$AC$20</c:f>
              <c:numCache>
                <c:formatCode>0.000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01-630A-4A4A-BEA8-9A61E3B1248D}"/>
            </c:ext>
          </c:extLst>
        </c:ser>
        <c:ser>
          <c:idx val="0"/>
          <c:order val="2"/>
          <c:tx>
            <c:strRef>
              <c:f>'2 Aggregate System'!$A$15</c:f>
              <c:strCache>
                <c:ptCount val="1"/>
                <c:pt idx="0">
                  <c:v>Coarse C</c:v>
                </c:pt>
              </c:strCache>
            </c:strRef>
          </c:tx>
          <c:spPr>
            <a:ln>
              <a:solidFill>
                <a:schemeClr val="accent1">
                  <a:lumMod val="60000"/>
                  <a:lumOff val="40000"/>
                </a:schemeClr>
              </a:solidFill>
            </a:ln>
          </c:spPr>
          <c:marker>
            <c:symbol val="triangle"/>
            <c:size val="5"/>
            <c:spPr>
              <a:solidFill>
                <a:srgbClr val="FFFFFF"/>
              </a:solidFill>
              <a:ln>
                <a:solidFill>
                  <a:schemeClr val="tx1"/>
                </a:solidFill>
                <a:prstDash val="solid"/>
              </a:ln>
            </c:spPr>
          </c:marker>
          <c:cat>
            <c:strRef>
              <c:f>'2 Aggregate System'!$A$26:$A$38</c:f>
              <c:strCache>
                <c:ptCount val="13"/>
                <c:pt idx="0">
                  <c:v>2"</c:v>
                </c:pt>
                <c:pt idx="1">
                  <c:v>1 1/2"</c:v>
                </c:pt>
                <c:pt idx="2">
                  <c:v>1"</c:v>
                </c:pt>
                <c:pt idx="3">
                  <c:v>3/4"</c:v>
                </c:pt>
                <c:pt idx="4">
                  <c:v>1/2"</c:v>
                </c:pt>
                <c:pt idx="5">
                  <c:v>3/8"</c:v>
                </c:pt>
                <c:pt idx="6">
                  <c:v># 4</c:v>
                </c:pt>
                <c:pt idx="7">
                  <c:v># 8</c:v>
                </c:pt>
                <c:pt idx="8">
                  <c:v># 16</c:v>
                </c:pt>
                <c:pt idx="9">
                  <c:v># 30</c:v>
                </c:pt>
                <c:pt idx="10">
                  <c:v># 50</c:v>
                </c:pt>
                <c:pt idx="11">
                  <c:v># 100</c:v>
                </c:pt>
                <c:pt idx="12">
                  <c:v># 200</c:v>
                </c:pt>
              </c:strCache>
            </c:strRef>
          </c:cat>
          <c:val>
            <c:numRef>
              <c:f>'6 Agg Analysis'!$AD$8:$AD$20</c:f>
              <c:numCache>
                <c:formatCode>0.000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02-630A-4A4A-BEA8-9A61E3B1248D}"/>
            </c:ext>
          </c:extLst>
        </c:ser>
        <c:ser>
          <c:idx val="1"/>
          <c:order val="3"/>
          <c:tx>
            <c:strRef>
              <c:f>'2 Aggregate System'!$A$16</c:f>
              <c:strCache>
                <c:ptCount val="1"/>
                <c:pt idx="0">
                  <c:v>Fine A</c:v>
                </c:pt>
              </c:strCache>
            </c:strRef>
          </c:tx>
          <c:val>
            <c:numRef>
              <c:f>'6 Agg Analysis'!$AE$8:$AE$20</c:f>
              <c:numCache>
                <c:formatCode>0.000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03-630A-4A4A-BEA8-9A61E3B1248D}"/>
            </c:ext>
          </c:extLst>
        </c:ser>
        <c:ser>
          <c:idx val="2"/>
          <c:order val="4"/>
          <c:tx>
            <c:strRef>
              <c:f>'2 Aggregate System'!$A$17</c:f>
              <c:strCache>
                <c:ptCount val="1"/>
                <c:pt idx="0">
                  <c:v>Fine B</c:v>
                </c:pt>
              </c:strCache>
            </c:strRef>
          </c:tx>
          <c:spPr>
            <a:ln>
              <a:solidFill>
                <a:schemeClr val="accent4"/>
              </a:solidFill>
            </a:ln>
          </c:spPr>
          <c:marker>
            <c:spPr>
              <a:solidFill>
                <a:schemeClr val="accent4"/>
              </a:solidFill>
              <a:ln>
                <a:solidFill>
                  <a:schemeClr val="accent4"/>
                </a:solidFill>
              </a:ln>
            </c:spPr>
          </c:marker>
          <c:val>
            <c:numRef>
              <c:f>'6 Agg Analysis'!$AF$8:$AF$20</c:f>
              <c:numCache>
                <c:formatCode>0.000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04-630A-4A4A-BEA8-9A61E3B1248D}"/>
            </c:ext>
          </c:extLst>
        </c:ser>
        <c:dLbls>
          <c:showLegendKey val="0"/>
          <c:showVal val="0"/>
          <c:showCatName val="0"/>
          <c:showSerName val="0"/>
          <c:showPercent val="0"/>
          <c:showBubbleSize val="0"/>
        </c:dLbls>
        <c:marker val="1"/>
        <c:smooth val="0"/>
        <c:axId val="241589976"/>
        <c:axId val="242646392"/>
      </c:lineChart>
      <c:catAx>
        <c:axId val="241589976"/>
        <c:scaling>
          <c:orientation val="minMax"/>
        </c:scaling>
        <c:delete val="0"/>
        <c:axPos val="b"/>
        <c:majorGridlines>
          <c:spPr>
            <a:ln>
              <a:solidFill>
                <a:schemeClr val="bg1">
                  <a:lumMod val="50000"/>
                </a:schemeClr>
              </a:solidFill>
            </a:ln>
          </c:spPr>
        </c:majorGridlines>
        <c:title>
          <c:tx>
            <c:rich>
              <a:bodyPr/>
              <a:lstStyle/>
              <a:p>
                <a:pPr>
                  <a:defRPr sz="1200" b="1" i="0" u="none" strike="noStrike" baseline="0">
                    <a:solidFill>
                      <a:srgbClr val="000000"/>
                    </a:solidFill>
                    <a:latin typeface="Arial"/>
                    <a:ea typeface="Arial"/>
                    <a:cs typeface="Arial"/>
                  </a:defRPr>
                </a:pPr>
                <a:r>
                  <a:rPr lang="en-US" sz="1600">
                    <a:latin typeface="+mn-lt"/>
                  </a:rPr>
                  <a:t>Sieve</a:t>
                </a:r>
              </a:p>
            </c:rich>
          </c:tx>
          <c:layout>
            <c:manualLayout>
              <c:xMode val="edge"/>
              <c:yMode val="edge"/>
              <c:x val="0.43772976845860839"/>
              <c:y val="0.910326082121090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200" b="1" i="0" u="none" strike="noStrike" baseline="0">
                <a:solidFill>
                  <a:srgbClr val="000000"/>
                </a:solidFill>
                <a:latin typeface="+mn-lt"/>
                <a:ea typeface="Arial"/>
                <a:cs typeface="Arial"/>
              </a:defRPr>
            </a:pPr>
            <a:endParaRPr lang="en-US"/>
          </a:p>
        </c:txPr>
        <c:crossAx val="242646392"/>
        <c:crosses val="autoZero"/>
        <c:auto val="1"/>
        <c:lblAlgn val="ctr"/>
        <c:lblOffset val="100"/>
        <c:tickLblSkip val="1"/>
        <c:tickMarkSkip val="1"/>
        <c:noMultiLvlLbl val="0"/>
      </c:catAx>
      <c:valAx>
        <c:axId val="242646392"/>
        <c:scaling>
          <c:orientation val="minMax"/>
          <c:max val="100"/>
        </c:scaling>
        <c:delete val="0"/>
        <c:axPos val="r"/>
        <c:majorGridlines>
          <c:spPr>
            <a:ln w="3175">
              <a:solidFill>
                <a:schemeClr val="bg1">
                  <a:lumMod val="50000"/>
                </a:schemeClr>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sz="1600">
                    <a:latin typeface="+mn-lt"/>
                  </a:rPr>
                  <a:t>Percent Retained, % Weight</a:t>
                </a:r>
              </a:p>
            </c:rich>
          </c:tx>
          <c:layout>
            <c:manualLayout>
              <c:xMode val="edge"/>
              <c:yMode val="edge"/>
              <c:x val="2.8451048478952527E-2"/>
              <c:y val="0.1770953085122375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200" b="1" i="0" u="none" strike="noStrike" baseline="0">
                <a:solidFill>
                  <a:srgbClr val="000000"/>
                </a:solidFill>
                <a:latin typeface="Arial"/>
                <a:ea typeface="Arial"/>
                <a:cs typeface="Arial"/>
              </a:defRPr>
            </a:pPr>
            <a:endParaRPr lang="en-US"/>
          </a:p>
        </c:txPr>
        <c:crossAx val="241589976"/>
        <c:crosses val="max"/>
        <c:crossBetween val="midCat"/>
        <c:majorUnit val="20"/>
      </c:valAx>
      <c:spPr>
        <a:solidFill>
          <a:srgbClr val="FFFFFF"/>
        </a:solidFill>
        <a:ln w="3175">
          <a:solidFill>
            <a:srgbClr val="000000"/>
          </a:solidFill>
          <a:prstDash val="solid"/>
        </a:ln>
      </c:spPr>
    </c:plotArea>
    <c:legend>
      <c:legendPos val="r"/>
      <c:layout>
        <c:manualLayout>
          <c:xMode val="edge"/>
          <c:yMode val="edge"/>
          <c:x val="0.78849379576513023"/>
          <c:y val="0.12811367247821648"/>
          <c:w val="0.15465248043695495"/>
          <c:h val="0.30865442896372336"/>
        </c:manualLayout>
      </c:layout>
      <c:overlay val="0"/>
      <c:spPr>
        <a:solidFill>
          <a:srgbClr val="FFFFFF"/>
        </a:solidFill>
        <a:ln w="3175">
          <a:solidFill>
            <a:srgbClr val="000000"/>
          </a:solidFill>
          <a:prstDash val="solid"/>
        </a:ln>
      </c:spPr>
      <c:txPr>
        <a:bodyPr/>
        <a:lstStyle/>
        <a:p>
          <a:pPr>
            <a:defRPr sz="965"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12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Times New Roman"/>
                <a:ea typeface="Times New Roman"/>
                <a:cs typeface="Times New Roman"/>
              </a:defRPr>
            </a:pPr>
            <a:r>
              <a:rPr lang="en-US" sz="2000">
                <a:latin typeface="+mn-lt"/>
              </a:rPr>
              <a:t>Tarantula Curve</a:t>
            </a:r>
          </a:p>
        </c:rich>
      </c:tx>
      <c:overlay val="1"/>
    </c:title>
    <c:autoTitleDeleted val="0"/>
    <c:plotArea>
      <c:layout>
        <c:manualLayout>
          <c:layoutTarget val="inner"/>
          <c:xMode val="edge"/>
          <c:yMode val="edge"/>
          <c:x val="0.15482723351269623"/>
          <c:y val="0.12683727034120734"/>
          <c:w val="0.7941726330768889"/>
          <c:h val="0.68202810586176732"/>
        </c:manualLayout>
      </c:layout>
      <c:lineChart>
        <c:grouping val="standard"/>
        <c:varyColors val="0"/>
        <c:ser>
          <c:idx val="0"/>
          <c:order val="0"/>
          <c:spPr>
            <a:ln>
              <a:solidFill>
                <a:srgbClr val="FF0000"/>
              </a:solidFill>
            </a:ln>
          </c:spPr>
          <c:marker>
            <c:symbol val="diamond"/>
            <c:size val="9"/>
            <c:spPr>
              <a:solidFill>
                <a:srgbClr val="FF0000"/>
              </a:solidFill>
              <a:ln w="9525">
                <a:solidFill>
                  <a:srgbClr val="FF0000"/>
                </a:solidFill>
              </a:ln>
            </c:spPr>
          </c:marker>
          <c:cat>
            <c:strRef>
              <c:f>'2 Aggregate System'!$A$26:$A$38</c:f>
              <c:strCache>
                <c:ptCount val="13"/>
                <c:pt idx="0">
                  <c:v>2"</c:v>
                </c:pt>
                <c:pt idx="1">
                  <c:v>1 1/2"</c:v>
                </c:pt>
                <c:pt idx="2">
                  <c:v>1"</c:v>
                </c:pt>
                <c:pt idx="3">
                  <c:v>3/4"</c:v>
                </c:pt>
                <c:pt idx="4">
                  <c:v>1/2"</c:v>
                </c:pt>
                <c:pt idx="5">
                  <c:v>3/8"</c:v>
                </c:pt>
                <c:pt idx="6">
                  <c:v># 4</c:v>
                </c:pt>
                <c:pt idx="7">
                  <c:v># 8</c:v>
                </c:pt>
                <c:pt idx="8">
                  <c:v># 16</c:v>
                </c:pt>
                <c:pt idx="9">
                  <c:v># 30</c:v>
                </c:pt>
                <c:pt idx="10">
                  <c:v># 50</c:v>
                </c:pt>
                <c:pt idx="11">
                  <c:v># 100</c:v>
                </c:pt>
                <c:pt idx="12">
                  <c:v># 200</c:v>
                </c:pt>
              </c:strCache>
            </c:strRef>
          </c:cat>
          <c:val>
            <c:numRef>
              <c:f>'Optimize Tool'!$C$45:$C$57</c:f>
              <c:numCache>
                <c:formatCode>0.0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00-2C10-4691-809F-66D54F61AFE6}"/>
            </c:ext>
          </c:extLst>
        </c:ser>
        <c:ser>
          <c:idx val="1"/>
          <c:order val="1"/>
          <c:spPr>
            <a:ln w="38100">
              <a:solidFill>
                <a:srgbClr val="0000FF"/>
              </a:solidFill>
              <a:prstDash val="sysDash"/>
            </a:ln>
          </c:spPr>
          <c:marker>
            <c:symbol val="none"/>
          </c:marker>
          <c:cat>
            <c:strRef>
              <c:f>'2 Aggregate System'!$A$26:$A$38</c:f>
              <c:strCache>
                <c:ptCount val="13"/>
                <c:pt idx="0">
                  <c:v>2"</c:v>
                </c:pt>
                <c:pt idx="1">
                  <c:v>1 1/2"</c:v>
                </c:pt>
                <c:pt idx="2">
                  <c:v>1"</c:v>
                </c:pt>
                <c:pt idx="3">
                  <c:v>3/4"</c:v>
                </c:pt>
                <c:pt idx="4">
                  <c:v>1/2"</c:v>
                </c:pt>
                <c:pt idx="5">
                  <c:v>3/8"</c:v>
                </c:pt>
                <c:pt idx="6">
                  <c:v># 4</c:v>
                </c:pt>
                <c:pt idx="7">
                  <c:v># 8</c:v>
                </c:pt>
                <c:pt idx="8">
                  <c:v># 16</c:v>
                </c:pt>
                <c:pt idx="9">
                  <c:v># 30</c:v>
                </c:pt>
                <c:pt idx="10">
                  <c:v># 50</c:v>
                </c:pt>
                <c:pt idx="11">
                  <c:v># 100</c:v>
                </c:pt>
                <c:pt idx="12">
                  <c:v># 200</c:v>
                </c:pt>
              </c:strCache>
            </c:strRef>
          </c:cat>
          <c:val>
            <c:numRef>
              <c:f>'6 Agg Analysis'!$Q$26:$Q$38</c:f>
              <c:numCache>
                <c:formatCode>0</c:formatCode>
                <c:ptCount val="13"/>
                <c:pt idx="0">
                  <c:v>0</c:v>
                </c:pt>
                <c:pt idx="1">
                  <c:v>0</c:v>
                </c:pt>
                <c:pt idx="2">
                  <c:v>0</c:v>
                </c:pt>
                <c:pt idx="3">
                  <c:v>0</c:v>
                </c:pt>
                <c:pt idx="4">
                  <c:v>4</c:v>
                </c:pt>
                <c:pt idx="5">
                  <c:v>4</c:v>
                </c:pt>
                <c:pt idx="6">
                  <c:v>4</c:v>
                </c:pt>
                <c:pt idx="7">
                  <c:v>0</c:v>
                </c:pt>
                <c:pt idx="8">
                  <c:v>0</c:v>
                </c:pt>
                <c:pt idx="9">
                  <c:v>4</c:v>
                </c:pt>
                <c:pt idx="10">
                  <c:v>4</c:v>
                </c:pt>
                <c:pt idx="11">
                  <c:v>0</c:v>
                </c:pt>
                <c:pt idx="12">
                  <c:v>0</c:v>
                </c:pt>
              </c:numCache>
            </c:numRef>
          </c:val>
          <c:smooth val="0"/>
          <c:extLst>
            <c:ext xmlns:c16="http://schemas.microsoft.com/office/drawing/2014/chart" uri="{C3380CC4-5D6E-409C-BE32-E72D297353CC}">
              <c16:uniqueId val="{00000001-2C10-4691-809F-66D54F61AFE6}"/>
            </c:ext>
          </c:extLst>
        </c:ser>
        <c:ser>
          <c:idx val="2"/>
          <c:order val="2"/>
          <c:spPr>
            <a:ln w="38100" cmpd="sng">
              <a:solidFill>
                <a:srgbClr val="0000FF"/>
              </a:solidFill>
              <a:prstDash val="sysDash"/>
            </a:ln>
          </c:spPr>
          <c:marker>
            <c:symbol val="none"/>
          </c:marker>
          <c:cat>
            <c:strRef>
              <c:f>'2 Aggregate System'!$A$26:$A$38</c:f>
              <c:strCache>
                <c:ptCount val="13"/>
                <c:pt idx="0">
                  <c:v>2"</c:v>
                </c:pt>
                <c:pt idx="1">
                  <c:v>1 1/2"</c:v>
                </c:pt>
                <c:pt idx="2">
                  <c:v>1"</c:v>
                </c:pt>
                <c:pt idx="3">
                  <c:v>3/4"</c:v>
                </c:pt>
                <c:pt idx="4">
                  <c:v>1/2"</c:v>
                </c:pt>
                <c:pt idx="5">
                  <c:v>3/8"</c:v>
                </c:pt>
                <c:pt idx="6">
                  <c:v># 4</c:v>
                </c:pt>
                <c:pt idx="7">
                  <c:v># 8</c:v>
                </c:pt>
                <c:pt idx="8">
                  <c:v># 16</c:v>
                </c:pt>
                <c:pt idx="9">
                  <c:v># 30</c:v>
                </c:pt>
                <c:pt idx="10">
                  <c:v># 50</c:v>
                </c:pt>
                <c:pt idx="11">
                  <c:v># 100</c:v>
                </c:pt>
                <c:pt idx="12">
                  <c:v># 200</c:v>
                </c:pt>
              </c:strCache>
            </c:strRef>
          </c:cat>
          <c:val>
            <c:numRef>
              <c:f>'6 Agg Analysis'!$P$26:$P$38</c:f>
              <c:numCache>
                <c:formatCode>0</c:formatCode>
                <c:ptCount val="13"/>
                <c:pt idx="0">
                  <c:v>0</c:v>
                </c:pt>
                <c:pt idx="1">
                  <c:v>5</c:v>
                </c:pt>
                <c:pt idx="2">
                  <c:v>16</c:v>
                </c:pt>
                <c:pt idx="3">
                  <c:v>20</c:v>
                </c:pt>
                <c:pt idx="4">
                  <c:v>20</c:v>
                </c:pt>
                <c:pt idx="5">
                  <c:v>20</c:v>
                </c:pt>
                <c:pt idx="6">
                  <c:v>20</c:v>
                </c:pt>
                <c:pt idx="7">
                  <c:v>12</c:v>
                </c:pt>
                <c:pt idx="8">
                  <c:v>12</c:v>
                </c:pt>
                <c:pt idx="9">
                  <c:v>20</c:v>
                </c:pt>
                <c:pt idx="10">
                  <c:v>20</c:v>
                </c:pt>
                <c:pt idx="11">
                  <c:v>10</c:v>
                </c:pt>
                <c:pt idx="12">
                  <c:v>5</c:v>
                </c:pt>
              </c:numCache>
            </c:numRef>
          </c:val>
          <c:smooth val="0"/>
          <c:extLst>
            <c:ext xmlns:c16="http://schemas.microsoft.com/office/drawing/2014/chart" uri="{C3380CC4-5D6E-409C-BE32-E72D297353CC}">
              <c16:uniqueId val="{00000002-2C10-4691-809F-66D54F61AFE6}"/>
            </c:ext>
          </c:extLst>
        </c:ser>
        <c:dLbls>
          <c:showLegendKey val="0"/>
          <c:showVal val="0"/>
          <c:showCatName val="0"/>
          <c:showSerName val="0"/>
          <c:showPercent val="0"/>
          <c:showBubbleSize val="0"/>
        </c:dLbls>
        <c:marker val="1"/>
        <c:smooth val="0"/>
        <c:axId val="241588800"/>
        <c:axId val="241589192"/>
      </c:lineChart>
      <c:catAx>
        <c:axId val="241588800"/>
        <c:scaling>
          <c:orientation val="minMax"/>
        </c:scaling>
        <c:delete val="0"/>
        <c:axPos val="b"/>
        <c:majorGridlines>
          <c:spPr>
            <a:ln w="3175">
              <a:solidFill>
                <a:schemeClr val="bg1">
                  <a:lumMod val="50000"/>
                </a:schemeClr>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sz="1600">
                    <a:latin typeface="+mn-lt"/>
                  </a:rPr>
                  <a:t>Sieve</a:t>
                </a:r>
              </a:p>
            </c:rich>
          </c:tx>
          <c:layout>
            <c:manualLayout>
              <c:xMode val="edge"/>
              <c:yMode val="edge"/>
              <c:x val="0.50819772528433949"/>
              <c:y val="0.8991321829452169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200" b="1" i="0" u="none" strike="noStrike" baseline="0">
                <a:solidFill>
                  <a:srgbClr val="000000"/>
                </a:solidFill>
                <a:latin typeface="+mn-lt"/>
                <a:ea typeface="Arial"/>
                <a:cs typeface="Arial"/>
              </a:defRPr>
            </a:pPr>
            <a:endParaRPr lang="en-US"/>
          </a:p>
        </c:txPr>
        <c:crossAx val="241589192"/>
        <c:crosses val="autoZero"/>
        <c:auto val="0"/>
        <c:lblAlgn val="ctr"/>
        <c:lblOffset val="100"/>
        <c:tickLblSkip val="1"/>
        <c:tickMarkSkip val="1"/>
        <c:noMultiLvlLbl val="0"/>
      </c:catAx>
      <c:valAx>
        <c:axId val="241589192"/>
        <c:scaling>
          <c:orientation val="minMax"/>
        </c:scaling>
        <c:delete val="0"/>
        <c:axPos val="l"/>
        <c:majorGridlines>
          <c:spPr>
            <a:ln w="3175">
              <a:solidFill>
                <a:schemeClr val="bg1">
                  <a:lumMod val="50000"/>
                </a:schemeClr>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sz="1600">
                    <a:latin typeface="+mn-lt"/>
                  </a:rPr>
                  <a:t>Percent Retained, % Vol</a:t>
                </a:r>
              </a:p>
            </c:rich>
          </c:tx>
          <c:layout>
            <c:manualLayout>
              <c:xMode val="edge"/>
              <c:yMode val="edge"/>
              <c:x val="3.5149141513560807E-2"/>
              <c:y val="0.26038805433008816"/>
            </c:manualLayout>
          </c:layout>
          <c:overlay val="0"/>
          <c:spPr>
            <a:noFill/>
            <a:ln w="25400">
              <a:noFill/>
            </a:ln>
          </c:spPr>
        </c:title>
        <c:numFmt formatCode="0;[Red]0" sourceLinked="0"/>
        <c:majorTickMark val="out"/>
        <c:minorTickMark val="none"/>
        <c:tickLblPos val="nextTo"/>
        <c:spPr>
          <a:ln w="3175">
            <a:solidFill>
              <a:srgbClr val="000000"/>
            </a:solidFill>
            <a:prstDash val="solid"/>
          </a:ln>
        </c:spPr>
        <c:txPr>
          <a:bodyPr rot="0" vert="horz"/>
          <a:lstStyle/>
          <a:p>
            <a:pPr>
              <a:defRPr sz="1500" b="0" i="0" u="none" strike="noStrike" baseline="0">
                <a:solidFill>
                  <a:srgbClr val="000000"/>
                </a:solidFill>
                <a:latin typeface="Arial"/>
                <a:ea typeface="Arial"/>
                <a:cs typeface="Arial"/>
              </a:defRPr>
            </a:pPr>
            <a:endParaRPr lang="en-US"/>
          </a:p>
        </c:txPr>
        <c:crossAx val="241588800"/>
        <c:crosses val="autoZero"/>
        <c:crossBetween val="midCat"/>
      </c:valAx>
      <c:spPr>
        <a:noFill/>
        <a:ln w="3175">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4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Times New Roman"/>
                <a:ea typeface="Times New Roman"/>
                <a:cs typeface="Times New Roman"/>
              </a:defRPr>
            </a:pPr>
            <a:r>
              <a:rPr lang="en-US" sz="1600">
                <a:latin typeface="+mn-lt"/>
              </a:rPr>
              <a:t>Shilstone Chart</a:t>
            </a:r>
          </a:p>
        </c:rich>
      </c:tx>
      <c:overlay val="1"/>
    </c:title>
    <c:autoTitleDeleted val="0"/>
    <c:plotArea>
      <c:layout>
        <c:manualLayout>
          <c:layoutTarget val="inner"/>
          <c:xMode val="edge"/>
          <c:yMode val="edge"/>
          <c:x val="0.13913342082239721"/>
          <c:y val="0.16388910761154857"/>
          <c:w val="0.80036773188482269"/>
          <c:h val="0.67816282261029159"/>
        </c:manualLayout>
      </c:layout>
      <c:scatterChart>
        <c:scatterStyle val="lineMarker"/>
        <c:varyColors val="0"/>
        <c:ser>
          <c:idx val="0"/>
          <c:order val="0"/>
          <c:spPr>
            <a:ln w="25400">
              <a:solidFill>
                <a:srgbClr val="000000"/>
              </a:solidFill>
              <a:prstDash val="solid"/>
            </a:ln>
          </c:spPr>
          <c:marker>
            <c:symbol val="none"/>
          </c:marker>
          <c:xVal>
            <c:numRef>
              <c:f>'6 Agg Analysis'!$C$46:$C$47</c:f>
              <c:numCache>
                <c:formatCode>General</c:formatCode>
                <c:ptCount val="2"/>
                <c:pt idx="0">
                  <c:v>100</c:v>
                </c:pt>
                <c:pt idx="1">
                  <c:v>35</c:v>
                </c:pt>
              </c:numCache>
            </c:numRef>
          </c:xVal>
          <c:yVal>
            <c:numRef>
              <c:f>'6 Agg Analysis'!$D$46:$D$47</c:f>
              <c:numCache>
                <c:formatCode>General</c:formatCode>
                <c:ptCount val="2"/>
                <c:pt idx="0">
                  <c:v>36</c:v>
                </c:pt>
                <c:pt idx="1">
                  <c:v>45</c:v>
                </c:pt>
              </c:numCache>
            </c:numRef>
          </c:yVal>
          <c:smooth val="0"/>
          <c:extLst>
            <c:ext xmlns:c16="http://schemas.microsoft.com/office/drawing/2014/chart" uri="{C3380CC4-5D6E-409C-BE32-E72D297353CC}">
              <c16:uniqueId val="{00000000-42C0-4B4A-98E4-663C49563FD8}"/>
            </c:ext>
          </c:extLst>
        </c:ser>
        <c:ser>
          <c:idx val="1"/>
          <c:order val="1"/>
          <c:spPr>
            <a:ln w="25400">
              <a:solidFill>
                <a:srgbClr val="000000"/>
              </a:solidFill>
              <a:prstDash val="solid"/>
            </a:ln>
          </c:spPr>
          <c:marker>
            <c:symbol val="none"/>
          </c:marker>
          <c:xVal>
            <c:numRef>
              <c:f>'6 Agg Analysis'!$C$48:$C$51</c:f>
              <c:numCache>
                <c:formatCode>General</c:formatCode>
                <c:ptCount val="4"/>
                <c:pt idx="0">
                  <c:v>100</c:v>
                </c:pt>
                <c:pt idx="1">
                  <c:v>85</c:v>
                </c:pt>
                <c:pt idx="2">
                  <c:v>15</c:v>
                </c:pt>
                <c:pt idx="3">
                  <c:v>0</c:v>
                </c:pt>
              </c:numCache>
            </c:numRef>
          </c:xVal>
          <c:yVal>
            <c:numRef>
              <c:f>'6 Agg Analysis'!$D$48:$D$51</c:f>
              <c:numCache>
                <c:formatCode>General</c:formatCode>
                <c:ptCount val="4"/>
                <c:pt idx="0">
                  <c:v>27</c:v>
                </c:pt>
                <c:pt idx="1">
                  <c:v>27</c:v>
                </c:pt>
                <c:pt idx="2">
                  <c:v>37</c:v>
                </c:pt>
                <c:pt idx="3">
                  <c:v>37</c:v>
                </c:pt>
              </c:numCache>
            </c:numRef>
          </c:yVal>
          <c:smooth val="0"/>
          <c:extLst>
            <c:ext xmlns:c16="http://schemas.microsoft.com/office/drawing/2014/chart" uri="{C3380CC4-5D6E-409C-BE32-E72D297353CC}">
              <c16:uniqueId val="{00000001-42C0-4B4A-98E4-663C49563FD8}"/>
            </c:ext>
          </c:extLst>
        </c:ser>
        <c:ser>
          <c:idx val="2"/>
          <c:order val="2"/>
          <c:spPr>
            <a:ln w="25400">
              <a:solidFill>
                <a:srgbClr val="000000"/>
              </a:solidFill>
              <a:prstDash val="solid"/>
            </a:ln>
          </c:spPr>
          <c:marker>
            <c:symbol val="none"/>
          </c:marker>
          <c:xVal>
            <c:numRef>
              <c:f>'6 Agg Analysis'!$C$52:$C$53</c:f>
              <c:numCache>
                <c:formatCode>General</c:formatCode>
                <c:ptCount val="2"/>
                <c:pt idx="0">
                  <c:v>75</c:v>
                </c:pt>
                <c:pt idx="1">
                  <c:v>75</c:v>
                </c:pt>
              </c:numCache>
            </c:numRef>
          </c:xVal>
          <c:yVal>
            <c:numRef>
              <c:f>'6 Agg Analysis'!$D$52:$D$53</c:f>
              <c:numCache>
                <c:formatCode>0.00</c:formatCode>
                <c:ptCount val="2"/>
                <c:pt idx="0">
                  <c:v>28.428571428571427</c:v>
                </c:pt>
                <c:pt idx="1">
                  <c:v>39.46153846153846</c:v>
                </c:pt>
              </c:numCache>
            </c:numRef>
          </c:yVal>
          <c:smooth val="0"/>
          <c:extLst>
            <c:ext xmlns:c16="http://schemas.microsoft.com/office/drawing/2014/chart" uri="{C3380CC4-5D6E-409C-BE32-E72D297353CC}">
              <c16:uniqueId val="{00000002-42C0-4B4A-98E4-663C49563FD8}"/>
            </c:ext>
          </c:extLst>
        </c:ser>
        <c:ser>
          <c:idx val="3"/>
          <c:order val="3"/>
          <c:spPr>
            <a:ln w="25400">
              <a:solidFill>
                <a:srgbClr val="000000"/>
              </a:solidFill>
              <a:prstDash val="solid"/>
            </a:ln>
          </c:spPr>
          <c:marker>
            <c:symbol val="none"/>
          </c:marker>
          <c:xVal>
            <c:numRef>
              <c:f>'6 Agg Analysis'!$C$54:$C$55</c:f>
              <c:numCache>
                <c:formatCode>General</c:formatCode>
                <c:ptCount val="2"/>
                <c:pt idx="0">
                  <c:v>45</c:v>
                </c:pt>
                <c:pt idx="1">
                  <c:v>45</c:v>
                </c:pt>
              </c:numCache>
            </c:numRef>
          </c:xVal>
          <c:yVal>
            <c:numRef>
              <c:f>'6 Agg Analysis'!$D$54:$D$55</c:f>
              <c:numCache>
                <c:formatCode>0.00</c:formatCode>
                <c:ptCount val="2"/>
                <c:pt idx="0">
                  <c:v>32.714285714285715</c:v>
                </c:pt>
                <c:pt idx="1">
                  <c:v>43.615384615384613</c:v>
                </c:pt>
              </c:numCache>
            </c:numRef>
          </c:yVal>
          <c:smooth val="0"/>
          <c:extLst>
            <c:ext xmlns:c16="http://schemas.microsoft.com/office/drawing/2014/chart" uri="{C3380CC4-5D6E-409C-BE32-E72D297353CC}">
              <c16:uniqueId val="{00000003-42C0-4B4A-98E4-663C49563FD8}"/>
            </c:ext>
          </c:extLst>
        </c:ser>
        <c:ser>
          <c:idx val="4"/>
          <c:order val="4"/>
          <c:spPr>
            <a:ln w="12700">
              <a:solidFill>
                <a:srgbClr val="800080"/>
              </a:solidFill>
              <a:prstDash val="solid"/>
            </a:ln>
          </c:spPr>
          <c:marker>
            <c:symbol val="circle"/>
            <c:size val="10"/>
            <c:spPr>
              <a:solidFill>
                <a:srgbClr val="FF0000"/>
              </a:solidFill>
              <a:ln>
                <a:solidFill>
                  <a:srgbClr val="000000"/>
                </a:solidFill>
                <a:prstDash val="solid"/>
              </a:ln>
            </c:spPr>
          </c:marker>
          <c:xVal>
            <c:numRef>
              <c:f>Data_Charts!$J$4</c:f>
              <c:numCache>
                <c:formatCode>0.00;[Red]0.00</c:formatCode>
                <c:ptCount val="1"/>
                <c:pt idx="0">
                  <c:v>0</c:v>
                </c:pt>
              </c:numCache>
            </c:numRef>
          </c:xVal>
          <c:yVal>
            <c:numRef>
              <c:f>Data_Charts!$J$5</c:f>
              <c:numCache>
                <c:formatCode>0.00;[Red]0.00</c:formatCode>
                <c:ptCount val="1"/>
                <c:pt idx="0">
                  <c:v>0</c:v>
                </c:pt>
              </c:numCache>
            </c:numRef>
          </c:yVal>
          <c:smooth val="0"/>
          <c:extLst>
            <c:ext xmlns:c16="http://schemas.microsoft.com/office/drawing/2014/chart" uri="{C3380CC4-5D6E-409C-BE32-E72D297353CC}">
              <c16:uniqueId val="{00000004-42C0-4B4A-98E4-663C49563FD8}"/>
            </c:ext>
          </c:extLst>
        </c:ser>
        <c:dLbls>
          <c:showLegendKey val="0"/>
          <c:showVal val="0"/>
          <c:showCatName val="0"/>
          <c:showSerName val="0"/>
          <c:showPercent val="0"/>
          <c:showBubbleSize val="0"/>
        </c:dLbls>
        <c:axId val="242648352"/>
        <c:axId val="242648744"/>
      </c:scatterChart>
      <c:valAx>
        <c:axId val="242648352"/>
        <c:scaling>
          <c:orientation val="maxMin"/>
          <c:max val="100"/>
          <c:min val="0"/>
        </c:scaling>
        <c:delete val="0"/>
        <c:axPos val="b"/>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Coarseness Factor </a:t>
                </a:r>
              </a:p>
            </c:rich>
          </c:tx>
          <c:layout>
            <c:manualLayout>
              <c:xMode val="edge"/>
              <c:yMode val="edge"/>
              <c:x val="0.4084460333823175"/>
              <c:y val="0.93745445667071747"/>
            </c:manualLayout>
          </c:layout>
          <c:overlay val="0"/>
          <c:spPr>
            <a:noFill/>
            <a:ln w="25400">
              <a:noFill/>
            </a:ln>
          </c:spPr>
        </c:title>
        <c:numFmt formatCode="General" sourceLinked="1"/>
        <c:majorTickMark val="out"/>
        <c:minorTickMark val="out"/>
        <c:tickLblPos val="nextTo"/>
        <c:spPr>
          <a:ln w="3175">
            <a:solidFill>
              <a:srgbClr val="000000"/>
            </a:solidFill>
            <a:prstDash val="solid"/>
          </a:ln>
        </c:spPr>
        <c:txPr>
          <a:bodyPr rot="0" vert="horz"/>
          <a:lstStyle/>
          <a:p>
            <a:pPr>
              <a:defRPr sz="1100" b="1" i="0" u="none" strike="noStrike" baseline="0">
                <a:solidFill>
                  <a:srgbClr val="000000"/>
                </a:solidFill>
                <a:latin typeface="Arial"/>
                <a:ea typeface="Arial"/>
                <a:cs typeface="Arial"/>
              </a:defRPr>
            </a:pPr>
            <a:endParaRPr lang="en-US"/>
          </a:p>
        </c:txPr>
        <c:crossAx val="242648744"/>
        <c:crosses val="autoZero"/>
        <c:crossBetween val="midCat"/>
        <c:minorUnit val="10"/>
      </c:valAx>
      <c:valAx>
        <c:axId val="242648744"/>
        <c:scaling>
          <c:orientation val="minMax"/>
          <c:max val="45"/>
          <c:min val="20"/>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Workability Factor</a:t>
                </a:r>
              </a:p>
            </c:rich>
          </c:tx>
          <c:layout>
            <c:manualLayout>
              <c:xMode val="edge"/>
              <c:yMode val="edge"/>
              <c:x val="3.856322973555882E-2"/>
              <c:y val="0.3321846925582505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1" i="0" u="none" strike="noStrike" baseline="0">
                <a:solidFill>
                  <a:srgbClr val="000000"/>
                </a:solidFill>
                <a:latin typeface="Arial"/>
                <a:ea typeface="Arial"/>
                <a:cs typeface="Arial"/>
              </a:defRPr>
            </a:pPr>
            <a:endParaRPr lang="en-US"/>
          </a:p>
        </c:txPr>
        <c:crossAx val="242648352"/>
        <c:crosses val="max"/>
        <c:crossBetween val="midCat"/>
      </c:valAx>
      <c:spPr>
        <a:noFill/>
        <a:ln w="25400">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1"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Times New Roman"/>
                <a:ea typeface="Times New Roman"/>
                <a:cs typeface="Times New Roman"/>
              </a:defRPr>
            </a:pPr>
            <a:r>
              <a:rPr lang="en-US" sz="1600">
                <a:latin typeface="+mn-lt"/>
              </a:rPr>
              <a:t>Tarantula</a:t>
            </a:r>
          </a:p>
        </c:rich>
      </c:tx>
      <c:overlay val="1"/>
    </c:title>
    <c:autoTitleDeleted val="0"/>
    <c:plotArea>
      <c:layout>
        <c:manualLayout>
          <c:layoutTarget val="inner"/>
          <c:xMode val="edge"/>
          <c:yMode val="edge"/>
          <c:x val="0.15482723351269623"/>
          <c:y val="0.12683727034120734"/>
          <c:w val="0.7941726330768889"/>
          <c:h val="0.68202810586176732"/>
        </c:manualLayout>
      </c:layout>
      <c:lineChart>
        <c:grouping val="standard"/>
        <c:varyColors val="0"/>
        <c:ser>
          <c:idx val="0"/>
          <c:order val="0"/>
          <c:tx>
            <c:v>Indv. % Ret.</c:v>
          </c:tx>
          <c:spPr>
            <a:ln>
              <a:solidFill>
                <a:srgbClr val="FF0000"/>
              </a:solidFill>
            </a:ln>
          </c:spPr>
          <c:marker>
            <c:symbol val="diamond"/>
            <c:size val="9"/>
            <c:spPr>
              <a:solidFill>
                <a:srgbClr val="FF0000"/>
              </a:solidFill>
              <a:ln w="9525">
                <a:solidFill>
                  <a:srgbClr val="FF0000"/>
                </a:solidFill>
              </a:ln>
            </c:spPr>
          </c:marker>
          <c:cat>
            <c:strRef>
              <c:f>'2 Aggregate System'!$A$26:$A$38</c:f>
              <c:strCache>
                <c:ptCount val="13"/>
                <c:pt idx="0">
                  <c:v>2"</c:v>
                </c:pt>
                <c:pt idx="1">
                  <c:v>1 1/2"</c:v>
                </c:pt>
                <c:pt idx="2">
                  <c:v>1"</c:v>
                </c:pt>
                <c:pt idx="3">
                  <c:v>3/4"</c:v>
                </c:pt>
                <c:pt idx="4">
                  <c:v>1/2"</c:v>
                </c:pt>
                <c:pt idx="5">
                  <c:v>3/8"</c:v>
                </c:pt>
                <c:pt idx="6">
                  <c:v># 4</c:v>
                </c:pt>
                <c:pt idx="7">
                  <c:v># 8</c:v>
                </c:pt>
                <c:pt idx="8">
                  <c:v># 16</c:v>
                </c:pt>
                <c:pt idx="9">
                  <c:v># 30</c:v>
                </c:pt>
                <c:pt idx="10">
                  <c:v># 50</c:v>
                </c:pt>
                <c:pt idx="11">
                  <c:v># 100</c:v>
                </c:pt>
                <c:pt idx="12">
                  <c:v># 200</c:v>
                </c:pt>
              </c:strCache>
            </c:strRef>
          </c:cat>
          <c:val>
            <c:numRef>
              <c:f>'4 Mix Design'!$C$44:$C$56</c:f>
              <c:numCache>
                <c:formatCode>0.0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00-0A9E-4504-BFD9-1AE44862C4DE}"/>
            </c:ext>
          </c:extLst>
        </c:ser>
        <c:ser>
          <c:idx val="1"/>
          <c:order val="1"/>
          <c:tx>
            <c:v>Lower Tarant. Bound</c:v>
          </c:tx>
          <c:spPr>
            <a:ln w="28575">
              <a:solidFill>
                <a:srgbClr val="0000FF"/>
              </a:solidFill>
              <a:prstDash val="sysDash"/>
            </a:ln>
          </c:spPr>
          <c:marker>
            <c:symbol val="none"/>
          </c:marker>
          <c:cat>
            <c:strRef>
              <c:f>'2 Aggregate System'!$A$26:$A$38</c:f>
              <c:strCache>
                <c:ptCount val="13"/>
                <c:pt idx="0">
                  <c:v>2"</c:v>
                </c:pt>
                <c:pt idx="1">
                  <c:v>1 1/2"</c:v>
                </c:pt>
                <c:pt idx="2">
                  <c:v>1"</c:v>
                </c:pt>
                <c:pt idx="3">
                  <c:v>3/4"</c:v>
                </c:pt>
                <c:pt idx="4">
                  <c:v>1/2"</c:v>
                </c:pt>
                <c:pt idx="5">
                  <c:v>3/8"</c:v>
                </c:pt>
                <c:pt idx="6">
                  <c:v># 4</c:v>
                </c:pt>
                <c:pt idx="7">
                  <c:v># 8</c:v>
                </c:pt>
                <c:pt idx="8">
                  <c:v># 16</c:v>
                </c:pt>
                <c:pt idx="9">
                  <c:v># 30</c:v>
                </c:pt>
                <c:pt idx="10">
                  <c:v># 50</c:v>
                </c:pt>
                <c:pt idx="11">
                  <c:v># 100</c:v>
                </c:pt>
                <c:pt idx="12">
                  <c:v># 200</c:v>
                </c:pt>
              </c:strCache>
            </c:strRef>
          </c:cat>
          <c:val>
            <c:numRef>
              <c:f>'6 Agg Analysis'!$Q$26:$Q$38</c:f>
              <c:numCache>
                <c:formatCode>0</c:formatCode>
                <c:ptCount val="13"/>
                <c:pt idx="0">
                  <c:v>0</c:v>
                </c:pt>
                <c:pt idx="1">
                  <c:v>0</c:v>
                </c:pt>
                <c:pt idx="2">
                  <c:v>0</c:v>
                </c:pt>
                <c:pt idx="3">
                  <c:v>0</c:v>
                </c:pt>
                <c:pt idx="4">
                  <c:v>4</c:v>
                </c:pt>
                <c:pt idx="5">
                  <c:v>4</c:v>
                </c:pt>
                <c:pt idx="6">
                  <c:v>4</c:v>
                </c:pt>
                <c:pt idx="7">
                  <c:v>0</c:v>
                </c:pt>
                <c:pt idx="8">
                  <c:v>0</c:v>
                </c:pt>
                <c:pt idx="9">
                  <c:v>4</c:v>
                </c:pt>
                <c:pt idx="10">
                  <c:v>4</c:v>
                </c:pt>
                <c:pt idx="11">
                  <c:v>0</c:v>
                </c:pt>
                <c:pt idx="12">
                  <c:v>0</c:v>
                </c:pt>
              </c:numCache>
            </c:numRef>
          </c:val>
          <c:smooth val="0"/>
          <c:extLst>
            <c:ext xmlns:c16="http://schemas.microsoft.com/office/drawing/2014/chart" uri="{C3380CC4-5D6E-409C-BE32-E72D297353CC}">
              <c16:uniqueId val="{00000001-0A9E-4504-BFD9-1AE44862C4DE}"/>
            </c:ext>
          </c:extLst>
        </c:ser>
        <c:ser>
          <c:idx val="2"/>
          <c:order val="2"/>
          <c:tx>
            <c:v>Upper Tarant Bound</c:v>
          </c:tx>
          <c:spPr>
            <a:ln w="28575">
              <a:solidFill>
                <a:srgbClr val="0000FF"/>
              </a:solidFill>
              <a:prstDash val="sysDash"/>
            </a:ln>
          </c:spPr>
          <c:marker>
            <c:symbol val="none"/>
          </c:marker>
          <c:cat>
            <c:strRef>
              <c:f>'2 Aggregate System'!$A$26:$A$38</c:f>
              <c:strCache>
                <c:ptCount val="13"/>
                <c:pt idx="0">
                  <c:v>2"</c:v>
                </c:pt>
                <c:pt idx="1">
                  <c:v>1 1/2"</c:v>
                </c:pt>
                <c:pt idx="2">
                  <c:v>1"</c:v>
                </c:pt>
                <c:pt idx="3">
                  <c:v>3/4"</c:v>
                </c:pt>
                <c:pt idx="4">
                  <c:v>1/2"</c:v>
                </c:pt>
                <c:pt idx="5">
                  <c:v>3/8"</c:v>
                </c:pt>
                <c:pt idx="6">
                  <c:v># 4</c:v>
                </c:pt>
                <c:pt idx="7">
                  <c:v># 8</c:v>
                </c:pt>
                <c:pt idx="8">
                  <c:v># 16</c:v>
                </c:pt>
                <c:pt idx="9">
                  <c:v># 30</c:v>
                </c:pt>
                <c:pt idx="10">
                  <c:v># 50</c:v>
                </c:pt>
                <c:pt idx="11">
                  <c:v># 100</c:v>
                </c:pt>
                <c:pt idx="12">
                  <c:v># 200</c:v>
                </c:pt>
              </c:strCache>
            </c:strRef>
          </c:cat>
          <c:val>
            <c:numRef>
              <c:f>'6 Agg Analysis'!$P$26:$P$38</c:f>
              <c:numCache>
                <c:formatCode>0</c:formatCode>
                <c:ptCount val="13"/>
                <c:pt idx="0">
                  <c:v>0</c:v>
                </c:pt>
                <c:pt idx="1">
                  <c:v>5</c:v>
                </c:pt>
                <c:pt idx="2">
                  <c:v>16</c:v>
                </c:pt>
                <c:pt idx="3">
                  <c:v>20</c:v>
                </c:pt>
                <c:pt idx="4">
                  <c:v>20</c:v>
                </c:pt>
                <c:pt idx="5">
                  <c:v>20</c:v>
                </c:pt>
                <c:pt idx="6">
                  <c:v>20</c:v>
                </c:pt>
                <c:pt idx="7">
                  <c:v>12</c:v>
                </c:pt>
                <c:pt idx="8">
                  <c:v>12</c:v>
                </c:pt>
                <c:pt idx="9">
                  <c:v>20</c:v>
                </c:pt>
                <c:pt idx="10">
                  <c:v>20</c:v>
                </c:pt>
                <c:pt idx="11">
                  <c:v>10</c:v>
                </c:pt>
                <c:pt idx="12">
                  <c:v>5</c:v>
                </c:pt>
              </c:numCache>
            </c:numRef>
          </c:val>
          <c:smooth val="0"/>
          <c:extLst>
            <c:ext xmlns:c16="http://schemas.microsoft.com/office/drawing/2014/chart" uri="{C3380CC4-5D6E-409C-BE32-E72D297353CC}">
              <c16:uniqueId val="{00000002-0A9E-4504-BFD9-1AE44862C4DE}"/>
            </c:ext>
          </c:extLst>
        </c:ser>
        <c:dLbls>
          <c:showLegendKey val="0"/>
          <c:showVal val="0"/>
          <c:showCatName val="0"/>
          <c:showSerName val="0"/>
          <c:showPercent val="0"/>
          <c:showBubbleSize val="0"/>
        </c:dLbls>
        <c:marker val="1"/>
        <c:smooth val="0"/>
        <c:axId val="241588800"/>
        <c:axId val="241589192"/>
      </c:lineChart>
      <c:catAx>
        <c:axId val="241588800"/>
        <c:scaling>
          <c:orientation val="minMax"/>
        </c:scaling>
        <c:delete val="0"/>
        <c:axPos val="b"/>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Sieve</a:t>
                </a:r>
              </a:p>
            </c:rich>
          </c:tx>
          <c:layout>
            <c:manualLayout>
              <c:xMode val="edge"/>
              <c:yMode val="edge"/>
              <c:x val="0.50819770104914164"/>
              <c:y val="0.90858839262428337"/>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975" b="1" i="0" u="none" strike="noStrike" baseline="0">
                <a:solidFill>
                  <a:srgbClr val="000000"/>
                </a:solidFill>
                <a:latin typeface="Arial"/>
                <a:ea typeface="Arial"/>
                <a:cs typeface="Arial"/>
              </a:defRPr>
            </a:pPr>
            <a:endParaRPr lang="en-US"/>
          </a:p>
        </c:txPr>
        <c:crossAx val="241589192"/>
        <c:crosses val="autoZero"/>
        <c:auto val="0"/>
        <c:lblAlgn val="ctr"/>
        <c:lblOffset val="100"/>
        <c:tickLblSkip val="1"/>
        <c:tickMarkSkip val="1"/>
        <c:noMultiLvlLbl val="0"/>
      </c:catAx>
      <c:valAx>
        <c:axId val="241589192"/>
        <c:scaling>
          <c:orientation val="minMax"/>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Percent Retained, % Vol</a:t>
                </a:r>
              </a:p>
            </c:rich>
          </c:tx>
          <c:layout>
            <c:manualLayout>
              <c:xMode val="edge"/>
              <c:yMode val="edge"/>
              <c:x val="9.1075388429631889E-3"/>
              <c:y val="0.26038809630825743"/>
            </c:manualLayout>
          </c:layout>
          <c:overlay val="0"/>
          <c:spPr>
            <a:noFill/>
            <a:ln w="25400">
              <a:noFill/>
            </a:ln>
          </c:spPr>
        </c:title>
        <c:numFmt formatCode="0;[Red]0" sourceLinked="0"/>
        <c:majorTickMark val="out"/>
        <c:minorTickMark val="none"/>
        <c:tickLblPos val="nextTo"/>
        <c:spPr>
          <a:ln w="3175">
            <a:solidFill>
              <a:srgbClr val="000000"/>
            </a:solidFill>
            <a:prstDash val="solid"/>
          </a:ln>
        </c:spPr>
        <c:txPr>
          <a:bodyPr rot="0" vert="horz"/>
          <a:lstStyle/>
          <a:p>
            <a:pPr>
              <a:defRPr sz="1500" b="0" i="0" u="none" strike="noStrike" baseline="0">
                <a:solidFill>
                  <a:srgbClr val="000000"/>
                </a:solidFill>
                <a:latin typeface="Arial"/>
                <a:ea typeface="Arial"/>
                <a:cs typeface="Arial"/>
              </a:defRPr>
            </a:pPr>
            <a:endParaRPr lang="en-US"/>
          </a:p>
        </c:txPr>
        <c:crossAx val="241588800"/>
        <c:crosses val="autoZero"/>
        <c:crossBetween val="midCat"/>
      </c:valAx>
      <c:spPr>
        <a:noFill/>
        <a:ln w="3175">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4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Times New Roman"/>
                <a:ea typeface="Times New Roman"/>
                <a:cs typeface="Times New Roman"/>
              </a:defRPr>
            </a:pPr>
            <a:r>
              <a:rPr lang="en-US" sz="1600">
                <a:latin typeface="+mn-lt"/>
              </a:rPr>
              <a:t>Indv. Percent</a:t>
            </a:r>
            <a:r>
              <a:rPr lang="en-US" sz="1600" baseline="0">
                <a:latin typeface="+mn-lt"/>
              </a:rPr>
              <a:t> Passing</a:t>
            </a:r>
            <a:endParaRPr lang="en-US" sz="1600">
              <a:latin typeface="+mn-lt"/>
            </a:endParaRPr>
          </a:p>
        </c:rich>
      </c:tx>
      <c:overlay val="1"/>
    </c:title>
    <c:autoTitleDeleted val="0"/>
    <c:plotArea>
      <c:layout>
        <c:manualLayout>
          <c:layoutTarget val="inner"/>
          <c:xMode val="edge"/>
          <c:yMode val="edge"/>
          <c:x val="0.1288565179352581"/>
          <c:y val="0.13073665791776029"/>
          <c:w val="0.82600880338685356"/>
          <c:h val="0.67934782608695654"/>
        </c:manualLayout>
      </c:layout>
      <c:lineChart>
        <c:grouping val="standard"/>
        <c:varyColors val="0"/>
        <c:ser>
          <c:idx val="3"/>
          <c:order val="0"/>
          <c:tx>
            <c:strRef>
              <c:f>'2 Aggregate System'!$A$13</c:f>
              <c:strCache>
                <c:ptCount val="1"/>
                <c:pt idx="0">
                  <c:v>Coarse A</c:v>
                </c:pt>
              </c:strCache>
            </c:strRef>
          </c:tx>
          <c:marker>
            <c:symbol val="circle"/>
            <c:size val="6"/>
            <c:spPr>
              <a:noFill/>
              <a:ln>
                <a:solidFill>
                  <a:schemeClr val="tx1"/>
                </a:solidFill>
                <a:prstDash val="solid"/>
              </a:ln>
            </c:spPr>
          </c:marker>
          <c:cat>
            <c:strRef>
              <c:f>'2 Aggregate System'!$A$26:$A$38</c:f>
              <c:strCache>
                <c:ptCount val="13"/>
                <c:pt idx="0">
                  <c:v>2"</c:v>
                </c:pt>
                <c:pt idx="1">
                  <c:v>1 1/2"</c:v>
                </c:pt>
                <c:pt idx="2">
                  <c:v>1"</c:v>
                </c:pt>
                <c:pt idx="3">
                  <c:v>3/4"</c:v>
                </c:pt>
                <c:pt idx="4">
                  <c:v>1/2"</c:v>
                </c:pt>
                <c:pt idx="5">
                  <c:v>3/8"</c:v>
                </c:pt>
                <c:pt idx="6">
                  <c:v># 4</c:v>
                </c:pt>
                <c:pt idx="7">
                  <c:v># 8</c:v>
                </c:pt>
                <c:pt idx="8">
                  <c:v># 16</c:v>
                </c:pt>
                <c:pt idx="9">
                  <c:v># 30</c:v>
                </c:pt>
                <c:pt idx="10">
                  <c:v># 50</c:v>
                </c:pt>
                <c:pt idx="11">
                  <c:v># 100</c:v>
                </c:pt>
                <c:pt idx="12">
                  <c:v># 200</c:v>
                </c:pt>
              </c:strCache>
            </c:strRef>
          </c:cat>
          <c:val>
            <c:numRef>
              <c:f>'2 Aggregate System'!$B$26:$B$38</c:f>
              <c:numCache>
                <c:formatCode>0.0</c:formatCode>
                <c:ptCount val="13"/>
              </c:numCache>
            </c:numRef>
          </c:val>
          <c:smooth val="0"/>
          <c:extLst>
            <c:ext xmlns:c16="http://schemas.microsoft.com/office/drawing/2014/chart" uri="{C3380CC4-5D6E-409C-BE32-E72D297353CC}">
              <c16:uniqueId val="{00000000-D555-4363-B9DB-CAA7DF9FD43D}"/>
            </c:ext>
          </c:extLst>
        </c:ser>
        <c:ser>
          <c:idx val="4"/>
          <c:order val="1"/>
          <c:tx>
            <c:strRef>
              <c:f>'2 Aggregate System'!$A$14</c:f>
              <c:strCache>
                <c:ptCount val="1"/>
                <c:pt idx="0">
                  <c:v>Coarse B</c:v>
                </c:pt>
              </c:strCache>
            </c:strRef>
          </c:tx>
          <c:marker>
            <c:symbol val="square"/>
            <c:size val="5"/>
            <c:spPr>
              <a:noFill/>
              <a:ln>
                <a:solidFill>
                  <a:srgbClr val="800080"/>
                </a:solidFill>
                <a:prstDash val="solid"/>
              </a:ln>
            </c:spPr>
          </c:marker>
          <c:cat>
            <c:strRef>
              <c:f>'2 Aggregate System'!$A$26:$A$38</c:f>
              <c:strCache>
                <c:ptCount val="13"/>
                <c:pt idx="0">
                  <c:v>2"</c:v>
                </c:pt>
                <c:pt idx="1">
                  <c:v>1 1/2"</c:v>
                </c:pt>
                <c:pt idx="2">
                  <c:v>1"</c:v>
                </c:pt>
                <c:pt idx="3">
                  <c:v>3/4"</c:v>
                </c:pt>
                <c:pt idx="4">
                  <c:v>1/2"</c:v>
                </c:pt>
                <c:pt idx="5">
                  <c:v>3/8"</c:v>
                </c:pt>
                <c:pt idx="6">
                  <c:v># 4</c:v>
                </c:pt>
                <c:pt idx="7">
                  <c:v># 8</c:v>
                </c:pt>
                <c:pt idx="8">
                  <c:v># 16</c:v>
                </c:pt>
                <c:pt idx="9">
                  <c:v># 30</c:v>
                </c:pt>
                <c:pt idx="10">
                  <c:v># 50</c:v>
                </c:pt>
                <c:pt idx="11">
                  <c:v># 100</c:v>
                </c:pt>
                <c:pt idx="12">
                  <c:v># 200</c:v>
                </c:pt>
              </c:strCache>
            </c:strRef>
          </c:cat>
          <c:val>
            <c:numRef>
              <c:f>'2 Aggregate System'!$C$26:$C$38</c:f>
              <c:numCache>
                <c:formatCode>0.0</c:formatCode>
                <c:ptCount val="13"/>
              </c:numCache>
            </c:numRef>
          </c:val>
          <c:smooth val="0"/>
          <c:extLst>
            <c:ext xmlns:c16="http://schemas.microsoft.com/office/drawing/2014/chart" uri="{C3380CC4-5D6E-409C-BE32-E72D297353CC}">
              <c16:uniqueId val="{00000001-D555-4363-B9DB-CAA7DF9FD43D}"/>
            </c:ext>
          </c:extLst>
        </c:ser>
        <c:ser>
          <c:idx val="0"/>
          <c:order val="2"/>
          <c:tx>
            <c:strRef>
              <c:f>'2 Aggregate System'!$A$15</c:f>
              <c:strCache>
                <c:ptCount val="1"/>
                <c:pt idx="0">
                  <c:v>Coarse C</c:v>
                </c:pt>
              </c:strCache>
            </c:strRef>
          </c:tx>
          <c:marker>
            <c:symbol val="triangle"/>
            <c:size val="5"/>
            <c:spPr>
              <a:solidFill>
                <a:srgbClr val="FFFFFF"/>
              </a:solidFill>
              <a:ln>
                <a:solidFill>
                  <a:srgbClr val="000000"/>
                </a:solidFill>
                <a:prstDash val="solid"/>
              </a:ln>
            </c:spPr>
          </c:marker>
          <c:cat>
            <c:strRef>
              <c:f>'2 Aggregate System'!$A$26:$A$38</c:f>
              <c:strCache>
                <c:ptCount val="13"/>
                <c:pt idx="0">
                  <c:v>2"</c:v>
                </c:pt>
                <c:pt idx="1">
                  <c:v>1 1/2"</c:v>
                </c:pt>
                <c:pt idx="2">
                  <c:v>1"</c:v>
                </c:pt>
                <c:pt idx="3">
                  <c:v>3/4"</c:v>
                </c:pt>
                <c:pt idx="4">
                  <c:v>1/2"</c:v>
                </c:pt>
                <c:pt idx="5">
                  <c:v>3/8"</c:v>
                </c:pt>
                <c:pt idx="6">
                  <c:v># 4</c:v>
                </c:pt>
                <c:pt idx="7">
                  <c:v># 8</c:v>
                </c:pt>
                <c:pt idx="8">
                  <c:v># 16</c:v>
                </c:pt>
                <c:pt idx="9">
                  <c:v># 30</c:v>
                </c:pt>
                <c:pt idx="10">
                  <c:v># 50</c:v>
                </c:pt>
                <c:pt idx="11">
                  <c:v># 100</c:v>
                </c:pt>
                <c:pt idx="12">
                  <c:v># 200</c:v>
                </c:pt>
              </c:strCache>
            </c:strRef>
          </c:cat>
          <c:val>
            <c:numRef>
              <c:f>'2 Aggregate System'!$D$26:$D$38</c:f>
              <c:numCache>
                <c:formatCode>0.0</c:formatCode>
                <c:ptCount val="13"/>
              </c:numCache>
            </c:numRef>
          </c:val>
          <c:smooth val="0"/>
          <c:extLst>
            <c:ext xmlns:c16="http://schemas.microsoft.com/office/drawing/2014/chart" uri="{C3380CC4-5D6E-409C-BE32-E72D297353CC}">
              <c16:uniqueId val="{00000002-D555-4363-B9DB-CAA7DF9FD43D}"/>
            </c:ext>
          </c:extLst>
        </c:ser>
        <c:ser>
          <c:idx val="1"/>
          <c:order val="3"/>
          <c:tx>
            <c:strRef>
              <c:f>'2 Aggregate System'!$A$16</c:f>
              <c:strCache>
                <c:ptCount val="1"/>
                <c:pt idx="0">
                  <c:v>Fine A</c:v>
                </c:pt>
              </c:strCache>
            </c:strRef>
          </c:tx>
          <c:val>
            <c:numRef>
              <c:f>'2 Aggregate System'!$E$26:$E$38</c:f>
              <c:numCache>
                <c:formatCode>0.0</c:formatCode>
                <c:ptCount val="13"/>
              </c:numCache>
            </c:numRef>
          </c:val>
          <c:smooth val="0"/>
          <c:extLst>
            <c:ext xmlns:c16="http://schemas.microsoft.com/office/drawing/2014/chart" uri="{C3380CC4-5D6E-409C-BE32-E72D297353CC}">
              <c16:uniqueId val="{00000003-D555-4363-B9DB-CAA7DF9FD43D}"/>
            </c:ext>
          </c:extLst>
        </c:ser>
        <c:ser>
          <c:idx val="2"/>
          <c:order val="4"/>
          <c:tx>
            <c:strRef>
              <c:f>'2 Aggregate System'!$A$17</c:f>
              <c:strCache>
                <c:ptCount val="1"/>
                <c:pt idx="0">
                  <c:v>Fine B</c:v>
                </c:pt>
              </c:strCache>
            </c:strRef>
          </c:tx>
          <c:val>
            <c:numRef>
              <c:f>'2 Aggregate System'!$F$26:$F$38</c:f>
              <c:numCache>
                <c:formatCode>0.0</c:formatCode>
                <c:ptCount val="13"/>
              </c:numCache>
            </c:numRef>
          </c:val>
          <c:smooth val="0"/>
          <c:extLst>
            <c:ext xmlns:c16="http://schemas.microsoft.com/office/drawing/2014/chart" uri="{C3380CC4-5D6E-409C-BE32-E72D297353CC}">
              <c16:uniqueId val="{00000004-D555-4363-B9DB-CAA7DF9FD43D}"/>
            </c:ext>
          </c:extLst>
        </c:ser>
        <c:dLbls>
          <c:showLegendKey val="0"/>
          <c:showVal val="0"/>
          <c:showCatName val="0"/>
          <c:showSerName val="0"/>
          <c:showPercent val="0"/>
          <c:showBubbleSize val="0"/>
        </c:dLbls>
        <c:marker val="1"/>
        <c:smooth val="0"/>
        <c:axId val="241589976"/>
        <c:axId val="242646392"/>
      </c:lineChart>
      <c:catAx>
        <c:axId val="241589976"/>
        <c:scaling>
          <c:orientation val="minMax"/>
        </c:scaling>
        <c:delete val="0"/>
        <c:axPos val="b"/>
        <c:majorGridlines/>
        <c:title>
          <c:tx>
            <c:rich>
              <a:bodyPr/>
              <a:lstStyle/>
              <a:p>
                <a:pPr>
                  <a:defRPr sz="1200" b="1" i="0" u="none" strike="noStrike" baseline="0">
                    <a:solidFill>
                      <a:srgbClr val="000000"/>
                    </a:solidFill>
                    <a:latin typeface="Arial"/>
                    <a:ea typeface="Arial"/>
                    <a:cs typeface="Arial"/>
                  </a:defRPr>
                </a:pPr>
                <a:r>
                  <a:rPr lang="en-US"/>
                  <a:t>Sieve</a:t>
                </a:r>
              </a:p>
            </c:rich>
          </c:tx>
          <c:layout>
            <c:manualLayout>
              <c:xMode val="edge"/>
              <c:yMode val="edge"/>
              <c:x val="0.43772972707235747"/>
              <c:y val="0.870211810624158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25" b="1" i="0" u="none" strike="noStrike" baseline="0">
                <a:solidFill>
                  <a:srgbClr val="000000"/>
                </a:solidFill>
                <a:latin typeface="Arial"/>
                <a:ea typeface="Arial"/>
                <a:cs typeface="Arial"/>
              </a:defRPr>
            </a:pPr>
            <a:endParaRPr lang="en-US"/>
          </a:p>
        </c:txPr>
        <c:crossAx val="242646392"/>
        <c:crosses val="autoZero"/>
        <c:auto val="1"/>
        <c:lblAlgn val="ctr"/>
        <c:lblOffset val="100"/>
        <c:tickLblSkip val="1"/>
        <c:tickMarkSkip val="1"/>
        <c:noMultiLvlLbl val="0"/>
      </c:catAx>
      <c:valAx>
        <c:axId val="242646392"/>
        <c:scaling>
          <c:orientation val="minMax"/>
          <c:max val="100"/>
          <c:min val="0"/>
        </c:scaling>
        <c:delete val="0"/>
        <c:axPos val="r"/>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Percent Passing, % Weight</a:t>
                </a:r>
              </a:p>
            </c:rich>
          </c:tx>
          <c:layout>
            <c:manualLayout>
              <c:xMode val="edge"/>
              <c:yMode val="edge"/>
              <c:x val="2.8451048478952527E-2"/>
              <c:y val="0.17709530851223759"/>
            </c:manualLayout>
          </c:layout>
          <c:overlay val="0"/>
          <c:spPr>
            <a:noFill/>
            <a:ln w="25400">
              <a:noFill/>
            </a:ln>
          </c:spPr>
        </c:title>
        <c:numFmt formatCode="0.0" sourceLinked="1"/>
        <c:majorTickMark val="out"/>
        <c:minorTickMark val="none"/>
        <c:tickLblPos val="nextTo"/>
        <c:spPr>
          <a:ln w="3175">
            <a:solidFill>
              <a:srgbClr val="000000"/>
            </a:solidFill>
            <a:prstDash val="solid"/>
          </a:ln>
        </c:spPr>
        <c:txPr>
          <a:bodyPr rot="0" vert="horz"/>
          <a:lstStyle/>
          <a:p>
            <a:pPr>
              <a:defRPr sz="1200" b="1" i="0" u="none" strike="noStrike" baseline="0">
                <a:solidFill>
                  <a:srgbClr val="000000"/>
                </a:solidFill>
                <a:latin typeface="Arial"/>
                <a:ea typeface="Arial"/>
                <a:cs typeface="Arial"/>
              </a:defRPr>
            </a:pPr>
            <a:endParaRPr lang="en-US"/>
          </a:p>
        </c:txPr>
        <c:crossAx val="241589976"/>
        <c:crosses val="max"/>
        <c:crossBetween val="midCat"/>
        <c:majorUnit val="20"/>
      </c:valAx>
      <c:spPr>
        <a:solidFill>
          <a:srgbClr val="FFFFFF"/>
        </a:solidFill>
        <a:ln w="3175">
          <a:solidFill>
            <a:srgbClr val="000000"/>
          </a:solidFill>
          <a:prstDash val="solid"/>
        </a:ln>
      </c:spPr>
    </c:plotArea>
    <c:legend>
      <c:legendPos val="b"/>
      <c:layout>
        <c:manualLayout>
          <c:xMode val="edge"/>
          <c:yMode val="edge"/>
          <c:x val="6.4852247267218555E-2"/>
          <c:y val="0.92078312784638139"/>
          <c:w val="0.82404720221626826"/>
          <c:h val="5.1445519555114103E-2"/>
        </c:manualLayout>
      </c:layout>
      <c:overlay val="0"/>
      <c:spPr>
        <a:solidFill>
          <a:srgbClr val="FFFFFF"/>
        </a:solidFill>
        <a:ln w="3175">
          <a:solidFill>
            <a:srgbClr val="000000"/>
          </a:solidFill>
          <a:prstDash val="solid"/>
        </a:ln>
      </c:spPr>
      <c:txPr>
        <a:bodyPr/>
        <a:lstStyle/>
        <a:p>
          <a:pPr>
            <a:defRPr sz="965"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12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fmlaLink="'Optimize Tool'!Q11"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fmlaLink="'Optimize Tool'!R11"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image" Target="../media/image1.png"/><Relationship Id="rId4" Type="http://schemas.openxmlformats.org/officeDocument/2006/relationships/chart" Target="../charts/chart9.xml"/></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530764</xdr:colOff>
      <xdr:row>0</xdr:row>
      <xdr:rowOff>55901</xdr:rowOff>
    </xdr:from>
    <xdr:to>
      <xdr:col>15</xdr:col>
      <xdr:colOff>97290</xdr:colOff>
      <xdr:row>6</xdr:row>
      <xdr:rowOff>97984</xdr:rowOff>
    </xdr:to>
    <xdr:pic>
      <xdr:nvPicPr>
        <xdr:cNvPr id="7" name="Picture 6" descr="Picture of WisDOT Logo">
          <a:extLst>
            <a:ext uri="{FF2B5EF4-FFF2-40B4-BE49-F238E27FC236}">
              <a16:creationId xmlns:a16="http://schemas.microsoft.com/office/drawing/2014/main" id="{00000000-0008-0000-0000-000007000000}"/>
            </a:ext>
          </a:extLst>
        </xdr:cNvPr>
        <xdr:cNvPicPr/>
      </xdr:nvPicPr>
      <xdr:blipFill>
        <a:blip xmlns:r="http://schemas.openxmlformats.org/officeDocument/2006/relationships" r:embed="rId1" cstate="print"/>
        <a:srcRect/>
        <a:stretch>
          <a:fillRect/>
        </a:stretch>
      </xdr:blipFill>
      <xdr:spPr bwMode="auto">
        <a:xfrm>
          <a:off x="7726469" y="55901"/>
          <a:ext cx="1384935" cy="1363980"/>
        </a:xfrm>
        <a:prstGeom prst="ellipse">
          <a:avLst/>
        </a:prstGeom>
        <a:ln>
          <a:noFill/>
        </a:ln>
        <a:effectLst/>
      </xdr:spPr>
    </xdr:pic>
    <xdr:clientData/>
  </xdr:twoCellAnchor>
  <xdr:oneCellAnchor>
    <xdr:from>
      <xdr:col>9</xdr:col>
      <xdr:colOff>0</xdr:colOff>
      <xdr:row>126</xdr:row>
      <xdr:rowOff>50394</xdr:rowOff>
    </xdr:from>
    <xdr:ext cx="3295650" cy="2642584"/>
    <xdr:sp macro="" textlink="">
      <xdr:nvSpPr>
        <xdr:cNvPr id="11" name="TextBox 10">
          <a:extLst>
            <a:ext uri="{FF2B5EF4-FFF2-40B4-BE49-F238E27FC236}">
              <a16:creationId xmlns:a16="http://schemas.microsoft.com/office/drawing/2014/main" id="{00000000-0008-0000-0000-00000B000000}"/>
            </a:ext>
          </a:extLst>
        </xdr:cNvPr>
        <xdr:cNvSpPr txBox="1"/>
      </xdr:nvSpPr>
      <xdr:spPr>
        <a:xfrm>
          <a:off x="5091545" y="23144189"/>
          <a:ext cx="3295650" cy="264258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lvl="0" algn="l"/>
          <a:r>
            <a:rPr lang="en-US" sz="1100" b="0">
              <a:solidFill>
                <a:srgbClr val="C00000"/>
              </a:solidFill>
              <a:effectLst/>
              <a:latin typeface="+mn-lt"/>
              <a:ea typeface="+mn-ea"/>
              <a:cs typeface="+mn-cs"/>
            </a:rPr>
            <a:t>This publication is intended solely for use by professional personnel who are competent to evaluate the significance and limitations of the information provided herein and who will accept total responsibility for the application of this information. Any opinions, findings, and conclusions or recommendations expressed in this material do not necessarily reflect the views of the Wisconsin Department of Transportation.</a:t>
          </a:r>
        </a:p>
        <a:p>
          <a:pPr lvl="0" algn="l"/>
          <a:endParaRPr lang="en-US" sz="1100" b="0">
            <a:solidFill>
              <a:srgbClr val="C00000"/>
            </a:solidFill>
            <a:effectLst/>
            <a:latin typeface="+mn-lt"/>
            <a:ea typeface="+mn-ea"/>
            <a:cs typeface="+mn-cs"/>
          </a:endParaRPr>
        </a:p>
        <a:p>
          <a:pPr lvl="0" algn="l"/>
          <a:r>
            <a:rPr lang="en-US" sz="1100" b="0">
              <a:solidFill>
                <a:srgbClr val="C00000"/>
              </a:solidFill>
              <a:effectLst/>
              <a:latin typeface="+mn-lt"/>
              <a:ea typeface="+mn-ea"/>
              <a:cs typeface="+mn-cs"/>
            </a:rPr>
            <a:t>The Wisconsin</a:t>
          </a:r>
          <a:r>
            <a:rPr lang="en-US" sz="1100" b="0" baseline="0">
              <a:solidFill>
                <a:srgbClr val="C00000"/>
              </a:solidFill>
              <a:effectLst/>
              <a:latin typeface="+mn-lt"/>
              <a:ea typeface="+mn-ea"/>
              <a:cs typeface="+mn-cs"/>
            </a:rPr>
            <a:t> Department of Transportation</a:t>
          </a:r>
          <a:r>
            <a:rPr lang="en-US" sz="1100" b="0">
              <a:solidFill>
                <a:srgbClr val="C00000"/>
              </a:solidFill>
              <a:effectLst/>
              <a:latin typeface="+mn-lt"/>
              <a:ea typeface="+mn-ea"/>
              <a:cs typeface="+mn-cs"/>
            </a:rPr>
            <a:t> and the authors make no representations or warranties, expressed or implied, as to the accuracy of any information or computations herein and disclaim liability for any inaccuracies.</a:t>
          </a:r>
        </a:p>
        <a:p>
          <a:endParaRPr lang="en-US" sz="1100">
            <a:solidFill>
              <a:srgbClr val="505050"/>
            </a:solidFill>
          </a:endParaRPr>
        </a:p>
      </xdr:txBody>
    </xdr:sp>
    <xdr:clientData/>
  </xdr:oneCellAnchor>
  <xdr:oneCellAnchor>
    <xdr:from>
      <xdr:col>3</xdr:col>
      <xdr:colOff>9525</xdr:colOff>
      <xdr:row>126</xdr:row>
      <xdr:rowOff>41562</xdr:rowOff>
    </xdr:from>
    <xdr:ext cx="3295650" cy="806163"/>
    <xdr:sp macro="" textlink="">
      <xdr:nvSpPr>
        <xdr:cNvPr id="12" name="TextBox 11">
          <a:extLst>
            <a:ext uri="{FF2B5EF4-FFF2-40B4-BE49-F238E27FC236}">
              <a16:creationId xmlns:a16="http://schemas.microsoft.com/office/drawing/2014/main" id="{00000000-0008-0000-0000-00000C000000}"/>
            </a:ext>
          </a:extLst>
        </xdr:cNvPr>
        <xdr:cNvSpPr txBox="1"/>
      </xdr:nvSpPr>
      <xdr:spPr>
        <a:xfrm>
          <a:off x="1466850" y="23339712"/>
          <a:ext cx="3295650" cy="806163"/>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lvl="0" algn="l"/>
          <a:r>
            <a:rPr lang="en-US" sz="1100" b="0">
              <a:solidFill>
                <a:srgbClr val="C00000"/>
              </a:solidFill>
              <a:effectLst/>
              <a:latin typeface="+mn-lt"/>
              <a:ea typeface="+mn-ea"/>
              <a:cs typeface="+mn-cs"/>
            </a:rPr>
            <a:t>This is the Official version to be used on Wisconsin DOT projects when seeking approval for optimized gradation and optimized mixtures. </a:t>
          </a:r>
          <a:endParaRPr lang="en-US" sz="1100" b="0">
            <a:solidFill>
              <a:srgbClr val="C00000"/>
            </a:solidFill>
          </a:endParaRPr>
        </a:p>
      </xdr:txBody>
    </xdr:sp>
    <xdr:clientData/>
  </xdr:oneCellAnchor>
</xdr:wsDr>
</file>

<file path=xl/drawings/drawing10.xml><?xml version="1.0" encoding="utf-8"?>
<xdr:wsDr xmlns:xdr="http://schemas.openxmlformats.org/drawingml/2006/spreadsheetDrawing" xmlns:a="http://schemas.openxmlformats.org/drawingml/2006/main">
  <xdr:twoCellAnchor editAs="oneCell">
    <xdr:from>
      <xdr:col>12</xdr:col>
      <xdr:colOff>626745</xdr:colOff>
      <xdr:row>0</xdr:row>
      <xdr:rowOff>190500</xdr:rowOff>
    </xdr:from>
    <xdr:to>
      <xdr:col>14</xdr:col>
      <xdr:colOff>167687</xdr:colOff>
      <xdr:row>5</xdr:row>
      <xdr:rowOff>202165</xdr:rowOff>
    </xdr:to>
    <xdr:pic>
      <xdr:nvPicPr>
        <xdr:cNvPr id="9" name="Picture 8" descr="Picture of WisDOT Logo">
          <a:extLst>
            <a:ext uri="{FF2B5EF4-FFF2-40B4-BE49-F238E27FC236}">
              <a16:creationId xmlns:a16="http://schemas.microsoft.com/office/drawing/2014/main" id="{00000000-0008-0000-0700-000009000000}"/>
            </a:ext>
          </a:extLst>
        </xdr:cNvPr>
        <xdr:cNvPicPr/>
      </xdr:nvPicPr>
      <xdr:blipFill>
        <a:blip xmlns:r="http://schemas.openxmlformats.org/officeDocument/2006/relationships" r:embed="rId1" cstate="print"/>
        <a:srcRect/>
        <a:stretch>
          <a:fillRect/>
        </a:stretch>
      </xdr:blipFill>
      <xdr:spPr bwMode="auto">
        <a:xfrm>
          <a:off x="15104745" y="190500"/>
          <a:ext cx="1116377" cy="1063225"/>
        </a:xfrm>
        <a:prstGeom prst="ellipse">
          <a:avLst/>
        </a:prstGeom>
        <a:ln>
          <a:noFill/>
        </a:ln>
        <a:effectLst/>
      </xdr:spPr>
    </xdr:pic>
    <xdr:clientData/>
  </xdr:twoCellAnchor>
  <xdr:twoCellAnchor>
    <xdr:from>
      <xdr:col>0</xdr:col>
      <xdr:colOff>0</xdr:colOff>
      <xdr:row>16</xdr:row>
      <xdr:rowOff>0</xdr:rowOff>
    </xdr:from>
    <xdr:to>
      <xdr:col>6</xdr:col>
      <xdr:colOff>778983</xdr:colOff>
      <xdr:row>34</xdr:row>
      <xdr:rowOff>47625</xdr:rowOff>
    </xdr:to>
    <xdr:graphicFrame macro="">
      <xdr:nvGraphicFramePr>
        <xdr:cNvPr id="15" name="Chart 14" descr="Aggregate Gradation Percent Retained by Weight">
          <a:extLst>
            <a:ext uri="{FF2B5EF4-FFF2-40B4-BE49-F238E27FC236}">
              <a16:creationId xmlns:a16="http://schemas.microsoft.com/office/drawing/2014/main" id="{00000000-0008-0000-0700-00000F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0</xdr:colOff>
      <xdr:row>14</xdr:row>
      <xdr:rowOff>57150</xdr:rowOff>
    </xdr:from>
    <xdr:to>
      <xdr:col>12</xdr:col>
      <xdr:colOff>514350</xdr:colOff>
      <xdr:row>34</xdr:row>
      <xdr:rowOff>57150</xdr:rowOff>
    </xdr:to>
    <xdr:graphicFrame macro="">
      <xdr:nvGraphicFramePr>
        <xdr:cNvPr id="17" name="Chart 16" descr="Taratula Curve Graph">
          <a:extLst>
            <a:ext uri="{FF2B5EF4-FFF2-40B4-BE49-F238E27FC236}">
              <a16:creationId xmlns:a16="http://schemas.microsoft.com/office/drawing/2014/main" id="{00000000-0008-0000-0700-000011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134409</xdr:colOff>
      <xdr:row>2</xdr:row>
      <xdr:rowOff>95250</xdr:rowOff>
    </xdr:from>
    <xdr:to>
      <xdr:col>1</xdr:col>
      <xdr:colOff>116417</xdr:colOff>
      <xdr:row>7</xdr:row>
      <xdr:rowOff>169755</xdr:rowOff>
    </xdr:to>
    <xdr:pic>
      <xdr:nvPicPr>
        <xdr:cNvPr id="3" name="Picture 2" descr="Picture of WisDOT Logo">
          <a:extLst>
            <a:ext uri="{FF2B5EF4-FFF2-40B4-BE49-F238E27FC236}">
              <a16:creationId xmlns:a16="http://schemas.microsoft.com/office/drawing/2014/main" id="{00000000-0008-0000-0800-000003000000}"/>
            </a:ext>
          </a:extLst>
        </xdr:cNvPr>
        <xdr:cNvPicPr/>
      </xdr:nvPicPr>
      <xdr:blipFill>
        <a:blip xmlns:r="http://schemas.openxmlformats.org/officeDocument/2006/relationships" r:embed="rId1" cstate="print"/>
        <a:srcRect/>
        <a:stretch>
          <a:fillRect/>
        </a:stretch>
      </xdr:blipFill>
      <xdr:spPr bwMode="auto">
        <a:xfrm>
          <a:off x="134409" y="95250"/>
          <a:ext cx="1146175" cy="1093258"/>
        </a:xfrm>
        <a:prstGeom prst="ellipse">
          <a:avLst/>
        </a:prstGeom>
        <a:ln>
          <a:noFill/>
        </a:ln>
        <a:effectLst/>
      </xdr:spPr>
    </xdr:pic>
    <xdr:clientData/>
  </xdr:twoCellAnchor>
  <xdr:twoCellAnchor>
    <xdr:from>
      <xdr:col>6</xdr:col>
      <xdr:colOff>0</xdr:colOff>
      <xdr:row>8</xdr:row>
      <xdr:rowOff>0</xdr:rowOff>
    </xdr:from>
    <xdr:to>
      <xdr:col>11</xdr:col>
      <xdr:colOff>829733</xdr:colOff>
      <xdr:row>25</xdr:row>
      <xdr:rowOff>94203</xdr:rowOff>
    </xdr:to>
    <xdr:graphicFrame macro="">
      <xdr:nvGraphicFramePr>
        <xdr:cNvPr id="7" name="Chart 48" descr="Shilstone Chart">
          <a:extLst>
            <a:ext uri="{FF2B5EF4-FFF2-40B4-BE49-F238E27FC236}">
              <a16:creationId xmlns:a16="http://schemas.microsoft.com/office/drawing/2014/main" id="{00000000-0008-0000-0800-000007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8</xdr:row>
      <xdr:rowOff>0</xdr:rowOff>
    </xdr:from>
    <xdr:to>
      <xdr:col>5</xdr:col>
      <xdr:colOff>822960</xdr:colOff>
      <xdr:row>25</xdr:row>
      <xdr:rowOff>56644</xdr:rowOff>
    </xdr:to>
    <xdr:graphicFrame macro="">
      <xdr:nvGraphicFramePr>
        <xdr:cNvPr id="8" name="Chart 7" descr="Taratula Curve Graph">
          <a:extLst>
            <a:ext uri="{FF2B5EF4-FFF2-40B4-BE49-F238E27FC236}">
              <a16:creationId xmlns:a16="http://schemas.microsoft.com/office/drawing/2014/main" id="{00000000-0008-0000-0800-000008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26</xdr:row>
      <xdr:rowOff>0</xdr:rowOff>
    </xdr:from>
    <xdr:to>
      <xdr:col>5</xdr:col>
      <xdr:colOff>835448</xdr:colOff>
      <xdr:row>44</xdr:row>
      <xdr:rowOff>62335</xdr:rowOff>
    </xdr:to>
    <xdr:graphicFrame macro="">
      <xdr:nvGraphicFramePr>
        <xdr:cNvPr id="6" name="Chart 5" descr="Aggregate Gradation Individual Percent Passing">
          <a:extLst>
            <a:ext uri="{FF2B5EF4-FFF2-40B4-BE49-F238E27FC236}">
              <a16:creationId xmlns:a16="http://schemas.microsoft.com/office/drawing/2014/main" id="{00000000-0008-0000-0800-000006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c:userShapes xmlns:c="http://schemas.openxmlformats.org/drawingml/2006/chart">
  <cdr:relSizeAnchor xmlns:cdr="http://schemas.openxmlformats.org/drawingml/2006/chartDrawing">
    <cdr:from>
      <cdr:x>0.18702</cdr:x>
      <cdr:y>0.17399</cdr:y>
    </cdr:from>
    <cdr:to>
      <cdr:x>0.93207</cdr:x>
      <cdr:y>0.68998</cdr:y>
    </cdr:to>
    <cdr:grpSp>
      <cdr:nvGrpSpPr>
        <cdr:cNvPr id="11" name="Group 6">
          <a:extLst xmlns:a="http://schemas.openxmlformats.org/drawingml/2006/main">
            <a:ext uri="{FF2B5EF4-FFF2-40B4-BE49-F238E27FC236}">
              <a16:creationId xmlns:a16="http://schemas.microsoft.com/office/drawing/2014/main" id="{0E4FCCD0-3CD7-4F05-A24E-71AE32D7134F}"/>
            </a:ext>
          </a:extLst>
        </cdr:cNvPr>
        <cdr:cNvGrpSpPr>
          <a:grpSpLocks xmlns:a="http://schemas.openxmlformats.org/drawingml/2006/main"/>
        </cdr:cNvGrpSpPr>
      </cdr:nvGrpSpPr>
      <cdr:grpSpPr bwMode="auto">
        <a:xfrm xmlns:a="http://schemas.openxmlformats.org/drawingml/2006/main">
          <a:off x="1026067" y="592378"/>
          <a:ext cx="4087642" cy="1756776"/>
          <a:chOff x="941969" y="572350"/>
          <a:chExt cx="3943811" cy="1838580"/>
        </a:xfrm>
      </cdr:grpSpPr>
      <cdr:sp macro="" textlink="">
        <cdr:nvSpPr>
          <cdr:cNvPr id="7169" name="Text Box 1">
            <a:extLst xmlns:a="http://schemas.openxmlformats.org/drawingml/2006/main">
              <a:ext uri="{FF2B5EF4-FFF2-40B4-BE49-F238E27FC236}">
                <a16:creationId xmlns:a16="http://schemas.microsoft.com/office/drawing/2014/main" id="{B2DA4A69-AEE3-45DC-B510-BA859FC9D5B6}"/>
              </a:ext>
            </a:extLst>
          </cdr:cNvPr>
          <cdr:cNvSpPr txBox="1">
            <a:spLocks xmlns:a="http://schemas.openxmlformats.org/drawingml/2006/main" noChangeArrowheads="1"/>
          </cdr:cNvSpPr>
        </cdr:nvSpPr>
        <cdr:spPr bwMode="auto">
          <a:xfrm xmlns:a="http://schemas.openxmlformats.org/drawingml/2006/main">
            <a:off x="941969" y="592684"/>
            <a:ext cx="466744" cy="38247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wrap="none" lIns="27432" tIns="27432" rIns="0" bIns="0" anchor="t" upright="1">
            <a:spAutoFit/>
          </a:bodyPr>
          <a:lstStyle xmlns:a="http://schemas.openxmlformats.org/drawingml/2006/main"/>
          <a:p xmlns:a="http://schemas.openxmlformats.org/drawingml/2006/main">
            <a:pPr algn="ctr" rtl="0">
              <a:defRPr sz="1000"/>
            </a:pPr>
            <a:r>
              <a:rPr lang="en-US" sz="1200" b="1" i="0" u="none" strike="noStrike" baseline="0">
                <a:solidFill>
                  <a:srgbClr val="000000"/>
                </a:solidFill>
                <a:latin typeface="Arial"/>
                <a:cs typeface="Arial"/>
              </a:rPr>
              <a:t>IV</a:t>
            </a:r>
            <a:br>
              <a:rPr lang="en-US" sz="1200" b="1" i="0" u="none" strike="noStrike" baseline="0">
                <a:solidFill>
                  <a:srgbClr val="000000"/>
                </a:solidFill>
                <a:latin typeface="Arial"/>
                <a:cs typeface="Arial"/>
              </a:rPr>
            </a:br>
            <a:r>
              <a:rPr lang="en-US" sz="1200" b="1" i="0" u="none" strike="noStrike" baseline="0">
                <a:solidFill>
                  <a:srgbClr val="000000"/>
                </a:solidFill>
                <a:latin typeface="Arial"/>
                <a:cs typeface="Arial"/>
              </a:rPr>
              <a:t>Sandy</a:t>
            </a:r>
            <a:endParaRPr lang="en-US"/>
          </a:p>
        </cdr:txBody>
      </cdr:sp>
      <cdr:sp macro="" textlink="">
        <cdr:nvSpPr>
          <cdr:cNvPr id="7170" name="Text Box 2">
            <a:extLst xmlns:a="http://schemas.openxmlformats.org/drawingml/2006/main">
              <a:ext uri="{FF2B5EF4-FFF2-40B4-BE49-F238E27FC236}">
                <a16:creationId xmlns:a16="http://schemas.microsoft.com/office/drawing/2014/main" id="{CFA21250-7080-48F1-BD0D-885793E19CB7}"/>
              </a:ext>
            </a:extLst>
          </cdr:cNvPr>
          <cdr:cNvSpPr txBox="1">
            <a:spLocks xmlns:a="http://schemas.openxmlformats.org/drawingml/2006/main" noChangeArrowheads="1"/>
          </cdr:cNvSpPr>
        </cdr:nvSpPr>
        <cdr:spPr bwMode="auto">
          <a:xfrm xmlns:a="http://schemas.openxmlformats.org/drawingml/2006/main">
            <a:off x="995502" y="1549605"/>
            <a:ext cx="311774" cy="38247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wrap="none" lIns="27432" tIns="27432" rIns="0" bIns="0" anchor="t" upright="1">
            <a:spAutoFit/>
          </a:bodyPr>
          <a:lstStyle xmlns:a="http://schemas.openxmlformats.org/drawingml/2006/main"/>
          <a:p xmlns:a="http://schemas.openxmlformats.org/drawingml/2006/main">
            <a:pPr algn="ctr" rtl="0">
              <a:defRPr sz="1000"/>
            </a:pPr>
            <a:r>
              <a:rPr lang="en-US" sz="1200" b="1" i="0" u="none" strike="noStrike" baseline="0">
                <a:solidFill>
                  <a:srgbClr val="000000"/>
                </a:solidFill>
                <a:latin typeface="Arial"/>
                <a:cs typeface="Arial"/>
              </a:rPr>
              <a:t>I</a:t>
            </a:r>
            <a:br>
              <a:rPr lang="en-US" sz="1200" b="1" i="0" u="none" strike="noStrike" baseline="0">
                <a:solidFill>
                  <a:srgbClr val="000000"/>
                </a:solidFill>
                <a:latin typeface="Arial"/>
                <a:cs typeface="Arial"/>
              </a:rPr>
            </a:br>
            <a:r>
              <a:rPr lang="en-US" sz="1200" b="1" i="0" u="none" strike="noStrike" baseline="0">
                <a:solidFill>
                  <a:srgbClr val="000000"/>
                </a:solidFill>
                <a:latin typeface="Arial"/>
                <a:cs typeface="Arial"/>
              </a:rPr>
              <a:t>Gap</a:t>
            </a:r>
            <a:endParaRPr lang="en-US"/>
          </a:p>
        </cdr:txBody>
      </cdr:sp>
      <cdr:sp macro="" textlink="">
        <cdr:nvSpPr>
          <cdr:cNvPr id="7171" name="Text Box 3">
            <a:extLst xmlns:a="http://schemas.openxmlformats.org/drawingml/2006/main">
              <a:ext uri="{FF2B5EF4-FFF2-40B4-BE49-F238E27FC236}">
                <a16:creationId xmlns:a16="http://schemas.microsoft.com/office/drawing/2014/main" id="{19A05013-3A06-4817-8F2C-E23627CC571B}"/>
              </a:ext>
            </a:extLst>
          </cdr:cNvPr>
          <cdr:cNvSpPr txBox="1">
            <a:spLocks xmlns:a="http://schemas.openxmlformats.org/drawingml/2006/main" noChangeArrowheads="1"/>
          </cdr:cNvSpPr>
        </cdr:nvSpPr>
        <cdr:spPr bwMode="auto">
          <a:xfrm xmlns:a="http://schemas.openxmlformats.org/drawingml/2006/main">
            <a:off x="2783338" y="789406"/>
            <a:ext cx="87361" cy="167890"/>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wrap="none" lIns="27432" tIns="27432" rIns="0" bIns="0" anchor="t" upright="1">
            <a:spAutoFit/>
          </a:bodyPr>
          <a:lstStyle xmlns:a="http://schemas.openxmlformats.org/drawingml/2006/main"/>
          <a:p xmlns:a="http://schemas.openxmlformats.org/drawingml/2006/main">
            <a:pPr algn="l" rtl="0">
              <a:defRPr sz="1000"/>
            </a:pPr>
            <a:r>
              <a:rPr lang="en-US" sz="1200" b="1" i="0" u="none" strike="noStrike" baseline="0">
                <a:solidFill>
                  <a:srgbClr val="000000"/>
                </a:solidFill>
                <a:latin typeface="Arial"/>
                <a:cs typeface="Arial"/>
              </a:rPr>
              <a:t>II</a:t>
            </a:r>
            <a:endParaRPr lang="en-US"/>
          </a:p>
        </cdr:txBody>
      </cdr:sp>
      <cdr:sp macro="" textlink="">
        <cdr:nvSpPr>
          <cdr:cNvPr id="7172" name="Text Box 4">
            <a:extLst xmlns:a="http://schemas.openxmlformats.org/drawingml/2006/main">
              <a:ext uri="{FF2B5EF4-FFF2-40B4-BE49-F238E27FC236}">
                <a16:creationId xmlns:a16="http://schemas.microsoft.com/office/drawing/2014/main" id="{ACE23670-9D16-4924-80EC-B7CAD4BA6C4A}"/>
              </a:ext>
            </a:extLst>
          </cdr:cNvPr>
          <cdr:cNvSpPr txBox="1">
            <a:spLocks xmlns:a="http://schemas.openxmlformats.org/drawingml/2006/main" noChangeArrowheads="1"/>
          </cdr:cNvSpPr>
        </cdr:nvSpPr>
        <cdr:spPr bwMode="auto">
          <a:xfrm xmlns:a="http://schemas.openxmlformats.org/drawingml/2006/main">
            <a:off x="4141925" y="572350"/>
            <a:ext cx="743855" cy="38247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wrap="none" lIns="27432" tIns="27432" rIns="0" bIns="0" anchor="t" upright="1">
            <a:spAutoFit/>
          </a:bodyPr>
          <a:lstStyle xmlns:a="http://schemas.openxmlformats.org/drawingml/2006/main"/>
          <a:p xmlns:a="http://schemas.openxmlformats.org/drawingml/2006/main">
            <a:pPr algn="ctr" rtl="0">
              <a:defRPr sz="1000"/>
            </a:pPr>
            <a:r>
              <a:rPr lang="en-US" sz="1200" b="1" i="0" u="none" strike="noStrike" baseline="0">
                <a:solidFill>
                  <a:srgbClr val="000000"/>
                </a:solidFill>
                <a:latin typeface="Arial"/>
                <a:cs typeface="Arial"/>
              </a:rPr>
              <a:t>III</a:t>
            </a:r>
            <a:br>
              <a:rPr lang="en-US" sz="1200" b="1" i="0" u="none" strike="noStrike" baseline="0">
                <a:solidFill>
                  <a:srgbClr val="000000"/>
                </a:solidFill>
                <a:latin typeface="Arial"/>
                <a:cs typeface="Arial"/>
              </a:rPr>
            </a:br>
            <a:r>
              <a:rPr lang="en-US" sz="1200" b="1" i="0" u="none" strike="noStrike" baseline="0">
                <a:solidFill>
                  <a:srgbClr val="000000"/>
                </a:solidFill>
                <a:latin typeface="Arial"/>
                <a:cs typeface="Arial"/>
              </a:rPr>
              <a:t>Small Agg</a:t>
            </a:r>
            <a:endParaRPr lang="en-US"/>
          </a:p>
        </cdr:txBody>
      </cdr:sp>
      <cdr:sp macro="" textlink="">
        <cdr:nvSpPr>
          <cdr:cNvPr id="7173" name="Text Box 5">
            <a:extLst xmlns:a="http://schemas.openxmlformats.org/drawingml/2006/main">
              <a:ext uri="{FF2B5EF4-FFF2-40B4-BE49-F238E27FC236}">
                <a16:creationId xmlns:a16="http://schemas.microsoft.com/office/drawing/2014/main" id="{5C04BF4D-5CCE-486C-B4C6-D8C273CD5413}"/>
              </a:ext>
            </a:extLst>
          </cdr:cNvPr>
          <cdr:cNvSpPr txBox="1">
            <a:spLocks xmlns:a="http://schemas.openxmlformats.org/drawingml/2006/main" noChangeArrowheads="1"/>
          </cdr:cNvSpPr>
        </cdr:nvSpPr>
        <cdr:spPr bwMode="auto">
          <a:xfrm xmlns:a="http://schemas.openxmlformats.org/drawingml/2006/main">
            <a:off x="3423902" y="2028455"/>
            <a:ext cx="523901" cy="38247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wrap="none" lIns="27432" tIns="27432" rIns="0" bIns="0" anchor="t" upright="1">
            <a:spAutoFit/>
          </a:bodyPr>
          <a:lstStyle xmlns:a="http://schemas.openxmlformats.org/drawingml/2006/main"/>
          <a:p xmlns:a="http://schemas.openxmlformats.org/drawingml/2006/main">
            <a:pPr algn="ctr" rtl="0">
              <a:defRPr sz="1000"/>
            </a:pPr>
            <a:r>
              <a:rPr lang="en-US" sz="1200" b="1" i="0" u="none" strike="noStrike" baseline="0">
                <a:solidFill>
                  <a:srgbClr val="000000"/>
                </a:solidFill>
                <a:latin typeface="Arial"/>
                <a:cs typeface="Arial"/>
              </a:rPr>
              <a:t>V</a:t>
            </a:r>
            <a:br>
              <a:rPr lang="en-US" sz="1200" b="1" i="0" u="none" strike="noStrike" baseline="0">
                <a:solidFill>
                  <a:srgbClr val="000000"/>
                </a:solidFill>
                <a:latin typeface="Arial"/>
                <a:cs typeface="Arial"/>
              </a:rPr>
            </a:br>
            <a:r>
              <a:rPr lang="en-US" sz="1200" b="1" i="0" u="none" strike="noStrike" baseline="0">
                <a:solidFill>
                  <a:srgbClr val="000000"/>
                </a:solidFill>
                <a:latin typeface="Arial"/>
                <a:cs typeface="Arial"/>
              </a:rPr>
              <a:t>Coarse</a:t>
            </a:r>
            <a:endParaRPr lang="en-US"/>
          </a:p>
        </cdr:txBody>
      </cdr:sp>
    </cdr:grpSp>
  </cdr:relSizeAnchor>
</c:userShapes>
</file>

<file path=xl/drawings/drawing2.xml><?xml version="1.0" encoding="utf-8"?>
<xdr:wsDr xmlns:xdr="http://schemas.openxmlformats.org/drawingml/2006/spreadsheetDrawing" xmlns:a="http://schemas.openxmlformats.org/drawingml/2006/main">
  <xdr:twoCellAnchor editAs="oneCell">
    <xdr:from>
      <xdr:col>2</xdr:col>
      <xdr:colOff>0</xdr:colOff>
      <xdr:row>127</xdr:row>
      <xdr:rowOff>0</xdr:rowOff>
    </xdr:from>
    <xdr:to>
      <xdr:col>11</xdr:col>
      <xdr:colOff>8100</xdr:colOff>
      <xdr:row>131</xdr:row>
      <xdr:rowOff>22925</xdr:rowOff>
    </xdr:to>
    <xdr:pic>
      <xdr:nvPicPr>
        <xdr:cNvPr id="2" name="Picture 1">
          <a:extLst>
            <a:ext uri="{FF2B5EF4-FFF2-40B4-BE49-F238E27FC236}">
              <a16:creationId xmlns:a16="http://schemas.microsoft.com/office/drawing/2014/main" id="{4453F293-055D-4C49-B62A-34AB809864B7}"/>
            </a:ext>
          </a:extLst>
        </xdr:cNvPr>
        <xdr:cNvPicPr>
          <a:picLocks noChangeAspect="1"/>
        </xdr:cNvPicPr>
      </xdr:nvPicPr>
      <xdr:blipFill>
        <a:blip xmlns:r="http://schemas.openxmlformats.org/officeDocument/2006/relationships" r:embed="rId1"/>
        <a:stretch>
          <a:fillRect/>
        </a:stretch>
      </xdr:blipFill>
      <xdr:spPr>
        <a:xfrm>
          <a:off x="845820" y="24780240"/>
          <a:ext cx="5540220" cy="75444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533939</xdr:colOff>
      <xdr:row>0</xdr:row>
      <xdr:rowOff>48586</xdr:rowOff>
    </xdr:from>
    <xdr:to>
      <xdr:col>15</xdr:col>
      <xdr:colOff>92845</xdr:colOff>
      <xdr:row>7</xdr:row>
      <xdr:rowOff>113529</xdr:rowOff>
    </xdr:to>
    <xdr:pic>
      <xdr:nvPicPr>
        <xdr:cNvPr id="2" name="Picture 1" descr="Picture of WisDOT Logo">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rcRect/>
        <a:stretch>
          <a:fillRect/>
        </a:stretch>
      </xdr:blipFill>
      <xdr:spPr bwMode="auto">
        <a:xfrm>
          <a:off x="7729644" y="48586"/>
          <a:ext cx="1377315" cy="1381125"/>
        </a:xfrm>
        <a:prstGeom prst="ellipse">
          <a:avLst/>
        </a:prstGeom>
        <a:ln>
          <a:noFill/>
        </a:ln>
        <a:effectLst/>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123</xdr:row>
          <xdr:rowOff>152400</xdr:rowOff>
        </xdr:from>
        <xdr:to>
          <xdr:col>2</xdr:col>
          <xdr:colOff>670560</xdr:colOff>
          <xdr:row>125</xdr:row>
          <xdr:rowOff>30480</xdr:rowOff>
        </xdr:to>
        <xdr:sp macro="" textlink="">
          <xdr:nvSpPr>
            <xdr:cNvPr id="6169" name="Check Box 25" hidden="1">
              <a:extLst>
                <a:ext uri="{63B3BB69-23CF-44E3-9099-C40C66FF867C}">
                  <a14:compatExt spid="_x0000_s6169"/>
                </a:ext>
                <a:ext uri="{FF2B5EF4-FFF2-40B4-BE49-F238E27FC236}">
                  <a16:creationId xmlns:a16="http://schemas.microsoft.com/office/drawing/2014/main" id="{00000000-0008-0000-0200-00001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Met Combined Sieves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89</xdr:row>
          <xdr:rowOff>152400</xdr:rowOff>
        </xdr:from>
        <xdr:to>
          <xdr:col>3</xdr:col>
          <xdr:colOff>632460</xdr:colOff>
          <xdr:row>91</xdr:row>
          <xdr:rowOff>30480</xdr:rowOff>
        </xdr:to>
        <xdr:sp macro="" textlink="">
          <xdr:nvSpPr>
            <xdr:cNvPr id="6170" name="Check Box 26" hidden="1">
              <a:extLst>
                <a:ext uri="{63B3BB69-23CF-44E3-9099-C40C66FF867C}">
                  <a14:compatExt spid="_x0000_s6170"/>
                </a:ext>
                <a:ext uri="{FF2B5EF4-FFF2-40B4-BE49-F238E27FC236}">
                  <a16:creationId xmlns:a16="http://schemas.microsoft.com/office/drawing/2014/main" id="{00000000-0008-0000-0200-00001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Met Optimized Gradation</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12931</xdr:colOff>
          <xdr:row>118</xdr:row>
          <xdr:rowOff>182881</xdr:rowOff>
        </xdr:from>
        <xdr:to>
          <xdr:col>10</xdr:col>
          <xdr:colOff>129943</xdr:colOff>
          <xdr:row>121</xdr:row>
          <xdr:rowOff>185929</xdr:rowOff>
        </xdr:to>
        <xdr:grpSp>
          <xdr:nvGrpSpPr>
            <xdr:cNvPr id="2" name="Group 1" descr="Check first box if voids are freater or equal to 1.25&#10;Check second box of box test result is less or qual to 2&#10;Check third box if SAM number is entered">
              <a:extLst>
                <a:ext uri="{FF2B5EF4-FFF2-40B4-BE49-F238E27FC236}">
                  <a16:creationId xmlns:a16="http://schemas.microsoft.com/office/drawing/2014/main" id="{00000000-0008-0000-0200-000002000000}"/>
                </a:ext>
              </a:extLst>
            </xdr:cNvPr>
            <xdr:cNvGrpSpPr/>
          </xdr:nvGrpSpPr>
          <xdr:grpSpPr>
            <a:xfrm>
              <a:off x="9377911" y="22258021"/>
              <a:ext cx="1915332" cy="574548"/>
              <a:chOff x="9103143" y="21931349"/>
              <a:chExt cx="1685843" cy="567888"/>
            </a:xfrm>
          </xdr:grpSpPr>
          <xdr:sp macro="" textlink="">
            <xdr:nvSpPr>
              <xdr:cNvPr id="6171" name="Check Box 27" hidden="1">
                <a:extLst>
                  <a:ext uri="{63B3BB69-23CF-44E3-9099-C40C66FF867C}">
                    <a14:compatExt spid="_x0000_s6171"/>
                  </a:ext>
                  <a:ext uri="{FF2B5EF4-FFF2-40B4-BE49-F238E27FC236}">
                    <a16:creationId xmlns:a16="http://schemas.microsoft.com/office/drawing/2014/main" id="{00000000-0008-0000-0200-00001B180000}"/>
                  </a:ext>
                </a:extLst>
              </xdr:cNvPr>
              <xdr:cNvSpPr/>
            </xdr:nvSpPr>
            <xdr:spPr bwMode="auto">
              <a:xfrm>
                <a:off x="9103143" y="21931349"/>
                <a:ext cx="1445163" cy="19365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Voids &gt;= 1.25</a:t>
                </a:r>
              </a:p>
            </xdr:txBody>
          </xdr:sp>
          <xdr:sp macro="" textlink="">
            <xdr:nvSpPr>
              <xdr:cNvPr id="6172" name="Check Box 28" hidden="1">
                <a:extLst>
                  <a:ext uri="{63B3BB69-23CF-44E3-9099-C40C66FF867C}">
                    <a14:compatExt spid="_x0000_s6172"/>
                  </a:ext>
                  <a:ext uri="{FF2B5EF4-FFF2-40B4-BE49-F238E27FC236}">
                    <a16:creationId xmlns:a16="http://schemas.microsoft.com/office/drawing/2014/main" id="{00000000-0008-0000-0200-00001C180000}"/>
                  </a:ext>
                </a:extLst>
              </xdr:cNvPr>
              <xdr:cNvSpPr/>
            </xdr:nvSpPr>
            <xdr:spPr bwMode="auto">
              <a:xfrm>
                <a:off x="9103151" y="22147806"/>
                <a:ext cx="1685835" cy="16259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Box Test &lt;=2</a:t>
                </a:r>
              </a:p>
            </xdr:txBody>
          </xdr:sp>
          <xdr:sp macro="" textlink="">
            <xdr:nvSpPr>
              <xdr:cNvPr id="6173" name="Check Box 29" hidden="1">
                <a:extLst>
                  <a:ext uri="{63B3BB69-23CF-44E3-9099-C40C66FF867C}">
                    <a14:compatExt spid="_x0000_s6173"/>
                  </a:ext>
                  <a:ext uri="{FF2B5EF4-FFF2-40B4-BE49-F238E27FC236}">
                    <a16:creationId xmlns:a16="http://schemas.microsoft.com/office/drawing/2014/main" id="{00000000-0008-0000-0200-00001D180000}"/>
                  </a:ext>
                </a:extLst>
              </xdr:cNvPr>
              <xdr:cNvSpPr/>
            </xdr:nvSpPr>
            <xdr:spPr bwMode="auto">
              <a:xfrm>
                <a:off x="9103143" y="22333448"/>
                <a:ext cx="1673494" cy="16578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SAM Number</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130</xdr:row>
          <xdr:rowOff>160020</xdr:rowOff>
        </xdr:from>
        <xdr:to>
          <xdr:col>3</xdr:col>
          <xdr:colOff>861060</xdr:colOff>
          <xdr:row>132</xdr:row>
          <xdr:rowOff>45720</xdr:rowOff>
        </xdr:to>
        <xdr:sp macro="" textlink="">
          <xdr:nvSpPr>
            <xdr:cNvPr id="6174" name="Check Box 30" hidden="1">
              <a:extLst>
                <a:ext uri="{63B3BB69-23CF-44E3-9099-C40C66FF867C}">
                  <a14:compatExt spid="_x0000_s6174"/>
                </a:ext>
                <a:ext uri="{FF2B5EF4-FFF2-40B4-BE49-F238E27FC236}">
                  <a16:creationId xmlns:a16="http://schemas.microsoft.com/office/drawing/2014/main" id="{00000000-0008-0000-0200-00001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Mix Designer's Request for SCM exemption (501.3.2.2.2)</a:t>
              </a:r>
            </a:p>
          </xdr:txBody>
        </xdr:sp>
        <xdr:clientData/>
      </xdr:twoCellAnchor>
    </mc:Choice>
    <mc:Fallback/>
  </mc:AlternateContent>
  <xdr:twoCellAnchor>
    <xdr:from>
      <xdr:col>1</xdr:col>
      <xdr:colOff>38100</xdr:colOff>
      <xdr:row>91</xdr:row>
      <xdr:rowOff>0</xdr:rowOff>
    </xdr:from>
    <xdr:to>
      <xdr:col>4</xdr:col>
      <xdr:colOff>1283970</xdr:colOff>
      <xdr:row>106</xdr:row>
      <xdr:rowOff>7620</xdr:rowOff>
    </xdr:to>
    <xdr:graphicFrame macro="">
      <xdr:nvGraphicFramePr>
        <xdr:cNvPr id="21" name="Chart 20" descr="Taratula Curve Graph">
          <a:extLst>
            <a:ext uri="{FF2B5EF4-FFF2-40B4-BE49-F238E27FC236}">
              <a16:creationId xmlns:a16="http://schemas.microsoft.com/office/drawing/2014/main" id="{00000000-0008-0000-0200-000015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4</xdr:col>
          <xdr:colOff>22860</xdr:colOff>
          <xdr:row>38</xdr:row>
          <xdr:rowOff>0</xdr:rowOff>
        </xdr:from>
        <xdr:to>
          <xdr:col>4</xdr:col>
          <xdr:colOff>990600</xdr:colOff>
          <xdr:row>38</xdr:row>
          <xdr:rowOff>190500</xdr:rowOff>
        </xdr:to>
        <xdr:sp macro="" textlink="">
          <xdr:nvSpPr>
            <xdr:cNvPr id="6188" name="Check Box 44" hidden="1">
              <a:extLst>
                <a:ext uri="{63B3BB69-23CF-44E3-9099-C40C66FF867C}">
                  <a14:compatExt spid="_x0000_s6188"/>
                </a:ext>
                <a:ext uri="{FF2B5EF4-FFF2-40B4-BE49-F238E27FC236}">
                  <a16:creationId xmlns:a16="http://schemas.microsoft.com/office/drawing/2014/main" id="{00000000-0008-0000-0200-00002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Type III Cement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990600</xdr:colOff>
          <xdr:row>38</xdr:row>
          <xdr:rowOff>22860</xdr:rowOff>
        </xdr:from>
        <xdr:to>
          <xdr:col>5</xdr:col>
          <xdr:colOff>868680</xdr:colOff>
          <xdr:row>38</xdr:row>
          <xdr:rowOff>182880</xdr:rowOff>
        </xdr:to>
        <xdr:sp macro="" textlink="">
          <xdr:nvSpPr>
            <xdr:cNvPr id="6189" name="Check Box 45" hidden="1">
              <a:extLst>
                <a:ext uri="{63B3BB69-23CF-44E3-9099-C40C66FF867C}">
                  <a14:compatExt spid="_x0000_s6189"/>
                </a:ext>
                <a:ext uri="{FF2B5EF4-FFF2-40B4-BE49-F238E27FC236}">
                  <a16:creationId xmlns:a16="http://schemas.microsoft.com/office/drawing/2014/main" id="{00000000-0008-0000-0200-00002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Additional Cement</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xdr:colOff>
          <xdr:row>11</xdr:row>
          <xdr:rowOff>0</xdr:rowOff>
        </xdr:from>
        <xdr:to>
          <xdr:col>2</xdr:col>
          <xdr:colOff>144780</xdr:colOff>
          <xdr:row>12</xdr:row>
          <xdr:rowOff>22860</xdr:rowOff>
        </xdr:to>
        <xdr:sp macro="" textlink="">
          <xdr:nvSpPr>
            <xdr:cNvPr id="17409" name="Check Box 1" hidden="1">
              <a:extLst>
                <a:ext uri="{63B3BB69-23CF-44E3-9099-C40C66FF867C}">
                  <a14:compatExt spid="_x0000_s17409"/>
                </a:ext>
                <a:ext uri="{FF2B5EF4-FFF2-40B4-BE49-F238E27FC236}">
                  <a16:creationId xmlns:a16="http://schemas.microsoft.com/office/drawing/2014/main" id="{47704CE3-65B2-4F38-A9EA-EC524E1C7CF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Level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990600</xdr:colOff>
          <xdr:row>11</xdr:row>
          <xdr:rowOff>22860</xdr:rowOff>
        </xdr:from>
        <xdr:to>
          <xdr:col>2</xdr:col>
          <xdr:colOff>1158240</xdr:colOff>
          <xdr:row>12</xdr:row>
          <xdr:rowOff>15240</xdr:rowOff>
        </xdr:to>
        <xdr:sp macro="" textlink="">
          <xdr:nvSpPr>
            <xdr:cNvPr id="17410" name="Check Box 2" hidden="1">
              <a:extLst>
                <a:ext uri="{63B3BB69-23CF-44E3-9099-C40C66FF867C}">
                  <a14:compatExt spid="_x0000_s17410"/>
                </a:ext>
                <a:ext uri="{FF2B5EF4-FFF2-40B4-BE49-F238E27FC236}">
                  <a16:creationId xmlns:a16="http://schemas.microsoft.com/office/drawing/2014/main" id="{BF3D41D4-41DC-44A7-9BF8-4F0F93FE42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Level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11</xdr:row>
          <xdr:rowOff>0</xdr:rowOff>
        </xdr:from>
        <xdr:to>
          <xdr:col>3</xdr:col>
          <xdr:colOff>944880</xdr:colOff>
          <xdr:row>12</xdr:row>
          <xdr:rowOff>22860</xdr:rowOff>
        </xdr:to>
        <xdr:sp macro="" textlink="">
          <xdr:nvSpPr>
            <xdr:cNvPr id="17411" name="Check Box 3" hidden="1">
              <a:extLst>
                <a:ext uri="{63B3BB69-23CF-44E3-9099-C40C66FF867C}">
                  <a14:compatExt spid="_x0000_s17411"/>
                </a:ext>
                <a:ext uri="{FF2B5EF4-FFF2-40B4-BE49-F238E27FC236}">
                  <a16:creationId xmlns:a16="http://schemas.microsoft.com/office/drawing/2014/main" id="{551F53A5-0056-4CCA-A7BF-B8301C2E1D4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Not Required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990600</xdr:colOff>
          <xdr:row>11</xdr:row>
          <xdr:rowOff>22860</xdr:rowOff>
        </xdr:from>
        <xdr:to>
          <xdr:col>4</xdr:col>
          <xdr:colOff>662940</xdr:colOff>
          <xdr:row>12</xdr:row>
          <xdr:rowOff>15240</xdr:rowOff>
        </xdr:to>
        <xdr:sp macro="" textlink="">
          <xdr:nvSpPr>
            <xdr:cNvPr id="17412" name="Check Box 4" hidden="1">
              <a:extLst>
                <a:ext uri="{63B3BB69-23CF-44E3-9099-C40C66FF867C}">
                  <a14:compatExt spid="_x0000_s17412"/>
                </a:ext>
                <a:ext uri="{FF2B5EF4-FFF2-40B4-BE49-F238E27FC236}">
                  <a16:creationId xmlns:a16="http://schemas.microsoft.com/office/drawing/2014/main" id="{4B54329B-098B-4DDD-AD26-B4596B54A32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Required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11</xdr:row>
          <xdr:rowOff>0</xdr:rowOff>
        </xdr:from>
        <xdr:to>
          <xdr:col>5</xdr:col>
          <xdr:colOff>944880</xdr:colOff>
          <xdr:row>12</xdr:row>
          <xdr:rowOff>22860</xdr:rowOff>
        </xdr:to>
        <xdr:sp macro="" textlink="">
          <xdr:nvSpPr>
            <xdr:cNvPr id="17413" name="Check Box 5" hidden="1">
              <a:extLst>
                <a:ext uri="{63B3BB69-23CF-44E3-9099-C40C66FF867C}">
                  <a14:compatExt spid="_x0000_s17413"/>
                </a:ext>
                <a:ext uri="{FF2B5EF4-FFF2-40B4-BE49-F238E27FC236}">
                  <a16:creationId xmlns:a16="http://schemas.microsoft.com/office/drawing/2014/main" id="{86CFACE5-52C6-44CB-BB0A-DF7CB00E15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Not Required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990600</xdr:colOff>
          <xdr:row>11</xdr:row>
          <xdr:rowOff>22860</xdr:rowOff>
        </xdr:from>
        <xdr:to>
          <xdr:col>6</xdr:col>
          <xdr:colOff>1074420</xdr:colOff>
          <xdr:row>12</xdr:row>
          <xdr:rowOff>15240</xdr:rowOff>
        </xdr:to>
        <xdr:sp macro="" textlink="">
          <xdr:nvSpPr>
            <xdr:cNvPr id="17414" name="Check Box 6" hidden="1">
              <a:extLst>
                <a:ext uri="{63B3BB69-23CF-44E3-9099-C40C66FF867C}">
                  <a14:compatExt spid="_x0000_s17414"/>
                </a:ext>
                <a:ext uri="{FF2B5EF4-FFF2-40B4-BE49-F238E27FC236}">
                  <a16:creationId xmlns:a16="http://schemas.microsoft.com/office/drawing/2014/main" id="{20ED71C8-AB77-46B4-AF3D-07CC96DC684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Required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13</xdr:row>
          <xdr:rowOff>7620</xdr:rowOff>
        </xdr:from>
        <xdr:to>
          <xdr:col>2</xdr:col>
          <xdr:colOff>1196340</xdr:colOff>
          <xdr:row>14</xdr:row>
          <xdr:rowOff>38100</xdr:rowOff>
        </xdr:to>
        <xdr:sp macro="" textlink="">
          <xdr:nvSpPr>
            <xdr:cNvPr id="17415" name="Check Box 7" hidden="1">
              <a:extLst>
                <a:ext uri="{63B3BB69-23CF-44E3-9099-C40C66FF867C}">
                  <a14:compatExt spid="_x0000_s17415"/>
                </a:ext>
                <a:ext uri="{FF2B5EF4-FFF2-40B4-BE49-F238E27FC236}">
                  <a16:creationId xmlns:a16="http://schemas.microsoft.com/office/drawing/2014/main" id="{0045D79C-07A0-48E8-88C6-A41290F10AC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Water Source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13</xdr:row>
          <xdr:rowOff>0</xdr:rowOff>
        </xdr:from>
        <xdr:to>
          <xdr:col>6</xdr:col>
          <xdr:colOff>1463040</xdr:colOff>
          <xdr:row>14</xdr:row>
          <xdr:rowOff>45720</xdr:rowOff>
        </xdr:to>
        <xdr:sp macro="" textlink="">
          <xdr:nvSpPr>
            <xdr:cNvPr id="17416" name="Check Box 8" hidden="1">
              <a:extLst>
                <a:ext uri="{63B3BB69-23CF-44E3-9099-C40C66FF867C}">
                  <a14:compatExt spid="_x0000_s17416"/>
                </a:ext>
                <a:ext uri="{FF2B5EF4-FFF2-40B4-BE49-F238E27FC236}">
                  <a16:creationId xmlns:a16="http://schemas.microsoft.com/office/drawing/2014/main" id="{3D0A540B-C1D2-4016-8598-02B429C431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Total Cementitous  QTY (HES/SHES)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13</xdr:row>
          <xdr:rowOff>182880</xdr:rowOff>
        </xdr:from>
        <xdr:to>
          <xdr:col>2</xdr:col>
          <xdr:colOff>1211580</xdr:colOff>
          <xdr:row>15</xdr:row>
          <xdr:rowOff>45720</xdr:rowOff>
        </xdr:to>
        <xdr:sp macro="" textlink="">
          <xdr:nvSpPr>
            <xdr:cNvPr id="17417" name="Check Box 9" hidden="1">
              <a:extLst>
                <a:ext uri="{63B3BB69-23CF-44E3-9099-C40C66FF867C}">
                  <a14:compatExt spid="_x0000_s17417"/>
                </a:ext>
                <a:ext uri="{FF2B5EF4-FFF2-40B4-BE49-F238E27FC236}">
                  <a16:creationId xmlns:a16="http://schemas.microsoft.com/office/drawing/2014/main" id="{CA4D2383-366B-4867-9295-C47F938639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Add Color Pigment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14</xdr:row>
          <xdr:rowOff>0</xdr:rowOff>
        </xdr:from>
        <xdr:to>
          <xdr:col>6</xdr:col>
          <xdr:colOff>1463040</xdr:colOff>
          <xdr:row>15</xdr:row>
          <xdr:rowOff>45720</xdr:rowOff>
        </xdr:to>
        <xdr:sp macro="" textlink="">
          <xdr:nvSpPr>
            <xdr:cNvPr id="17418" name="Check Box 10" hidden="1">
              <a:extLst>
                <a:ext uri="{63B3BB69-23CF-44E3-9099-C40C66FF867C}">
                  <a14:compatExt spid="_x0000_s17418"/>
                </a:ext>
                <a:ext uri="{FF2B5EF4-FFF2-40B4-BE49-F238E27FC236}">
                  <a16:creationId xmlns:a16="http://schemas.microsoft.com/office/drawing/2014/main" id="{043548C9-7F8C-41E8-AC5F-4C53673FC7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SCM Replacement Rate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15</xdr:row>
          <xdr:rowOff>7620</xdr:rowOff>
        </xdr:from>
        <xdr:to>
          <xdr:col>2</xdr:col>
          <xdr:colOff>1196340</xdr:colOff>
          <xdr:row>16</xdr:row>
          <xdr:rowOff>38100</xdr:rowOff>
        </xdr:to>
        <xdr:sp macro="" textlink="">
          <xdr:nvSpPr>
            <xdr:cNvPr id="17419" name="Check Box 11" hidden="1">
              <a:extLst>
                <a:ext uri="{63B3BB69-23CF-44E3-9099-C40C66FF867C}">
                  <a14:compatExt spid="_x0000_s17419"/>
                </a:ext>
                <a:ext uri="{FF2B5EF4-FFF2-40B4-BE49-F238E27FC236}">
                  <a16:creationId xmlns:a16="http://schemas.microsoft.com/office/drawing/2014/main" id="{DC1D39C6-61A5-4693-9278-0502506831C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Fly Ash Class C Source (Pavement/Barrier)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15</xdr:row>
          <xdr:rowOff>0</xdr:rowOff>
        </xdr:from>
        <xdr:to>
          <xdr:col>6</xdr:col>
          <xdr:colOff>1463040</xdr:colOff>
          <xdr:row>16</xdr:row>
          <xdr:rowOff>45720</xdr:rowOff>
        </xdr:to>
        <xdr:sp macro="" textlink="">
          <xdr:nvSpPr>
            <xdr:cNvPr id="17420" name="Check Box 12" hidden="1">
              <a:extLst>
                <a:ext uri="{63B3BB69-23CF-44E3-9099-C40C66FF867C}">
                  <a14:compatExt spid="_x0000_s17420"/>
                </a:ext>
                <a:ext uri="{FF2B5EF4-FFF2-40B4-BE49-F238E27FC236}">
                  <a16:creationId xmlns:a16="http://schemas.microsoft.com/office/drawing/2014/main" id="{1427DA75-CE68-4BFC-90D4-9E162EB8CBD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Fly Ash Class F Source (Pavement/Barrier)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16</xdr:row>
          <xdr:rowOff>7620</xdr:rowOff>
        </xdr:from>
        <xdr:to>
          <xdr:col>2</xdr:col>
          <xdr:colOff>1196340</xdr:colOff>
          <xdr:row>17</xdr:row>
          <xdr:rowOff>38100</xdr:rowOff>
        </xdr:to>
        <xdr:sp macro="" textlink="">
          <xdr:nvSpPr>
            <xdr:cNvPr id="17421" name="Check Box 13" hidden="1">
              <a:extLst>
                <a:ext uri="{63B3BB69-23CF-44E3-9099-C40C66FF867C}">
                  <a14:compatExt spid="_x0000_s17421"/>
                </a:ext>
                <a:ext uri="{FF2B5EF4-FFF2-40B4-BE49-F238E27FC236}">
                  <a16:creationId xmlns:a16="http://schemas.microsoft.com/office/drawing/2014/main" id="{21ADDCC1-2B66-4221-A2A0-6C90260655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Slag Source (same grade)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16</xdr:row>
          <xdr:rowOff>0</xdr:rowOff>
        </xdr:from>
        <xdr:to>
          <xdr:col>6</xdr:col>
          <xdr:colOff>1463040</xdr:colOff>
          <xdr:row>17</xdr:row>
          <xdr:rowOff>45720</xdr:rowOff>
        </xdr:to>
        <xdr:sp macro="" textlink="">
          <xdr:nvSpPr>
            <xdr:cNvPr id="17422" name="Check Box 14" hidden="1">
              <a:extLst>
                <a:ext uri="{63B3BB69-23CF-44E3-9099-C40C66FF867C}">
                  <a14:compatExt spid="_x0000_s17422"/>
                </a:ext>
                <a:ext uri="{FF2B5EF4-FFF2-40B4-BE49-F238E27FC236}">
                  <a16:creationId xmlns:a16="http://schemas.microsoft.com/office/drawing/2014/main" id="{53500E7A-A3B7-4E6D-869A-7933228489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Slag Source (different grade)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17</xdr:row>
          <xdr:rowOff>7620</xdr:rowOff>
        </xdr:from>
        <xdr:to>
          <xdr:col>2</xdr:col>
          <xdr:colOff>1196340</xdr:colOff>
          <xdr:row>18</xdr:row>
          <xdr:rowOff>38100</xdr:rowOff>
        </xdr:to>
        <xdr:sp macro="" textlink="">
          <xdr:nvSpPr>
            <xdr:cNvPr id="17423" name="Check Box 15" hidden="1">
              <a:extLst>
                <a:ext uri="{63B3BB69-23CF-44E3-9099-C40C66FF867C}">
                  <a14:compatExt spid="_x0000_s17423"/>
                </a:ext>
                <a:ext uri="{FF2B5EF4-FFF2-40B4-BE49-F238E27FC236}">
                  <a16:creationId xmlns:a16="http://schemas.microsoft.com/office/drawing/2014/main" id="{AB7F1003-5423-4686-9FEF-B53B38FE72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Admix Dosage Rate (on APL)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17</xdr:row>
          <xdr:rowOff>0</xdr:rowOff>
        </xdr:from>
        <xdr:to>
          <xdr:col>6</xdr:col>
          <xdr:colOff>1463040</xdr:colOff>
          <xdr:row>18</xdr:row>
          <xdr:rowOff>45720</xdr:rowOff>
        </xdr:to>
        <xdr:sp macro="" textlink="">
          <xdr:nvSpPr>
            <xdr:cNvPr id="17424" name="Check Box 16" hidden="1">
              <a:extLst>
                <a:ext uri="{63B3BB69-23CF-44E3-9099-C40C66FF867C}">
                  <a14:compatExt spid="_x0000_s17424"/>
                </a:ext>
                <a:ext uri="{FF2B5EF4-FFF2-40B4-BE49-F238E27FC236}">
                  <a16:creationId xmlns:a16="http://schemas.microsoft.com/office/drawing/2014/main" id="{3B526C05-A353-425F-9D36-94029A23C9B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Add Type B or D Admixture (not on APL)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18</xdr:row>
          <xdr:rowOff>7620</xdr:rowOff>
        </xdr:from>
        <xdr:to>
          <xdr:col>2</xdr:col>
          <xdr:colOff>1196340</xdr:colOff>
          <xdr:row>19</xdr:row>
          <xdr:rowOff>38100</xdr:rowOff>
        </xdr:to>
        <xdr:sp macro="" textlink="">
          <xdr:nvSpPr>
            <xdr:cNvPr id="17425" name="Check Box 17" hidden="1">
              <a:extLst>
                <a:ext uri="{63B3BB69-23CF-44E3-9099-C40C66FF867C}">
                  <a14:compatExt spid="_x0000_s17425"/>
                </a:ext>
                <a:ext uri="{FF2B5EF4-FFF2-40B4-BE49-F238E27FC236}">
                  <a16:creationId xmlns:a16="http://schemas.microsoft.com/office/drawing/2014/main" id="{C79DB606-B71C-4148-B9EE-789884DBA4D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Add Type B or D Admixture (on APL)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18</xdr:row>
          <xdr:rowOff>0</xdr:rowOff>
        </xdr:from>
        <xdr:to>
          <xdr:col>6</xdr:col>
          <xdr:colOff>1463040</xdr:colOff>
          <xdr:row>19</xdr:row>
          <xdr:rowOff>45720</xdr:rowOff>
        </xdr:to>
        <xdr:sp macro="" textlink="">
          <xdr:nvSpPr>
            <xdr:cNvPr id="17426" name="Check Box 18" hidden="1">
              <a:extLst>
                <a:ext uri="{63B3BB69-23CF-44E3-9099-C40C66FF867C}">
                  <a14:compatExt spid="_x0000_s17426"/>
                </a:ext>
                <a:ext uri="{FF2B5EF4-FFF2-40B4-BE49-F238E27FC236}">
                  <a16:creationId xmlns:a16="http://schemas.microsoft.com/office/drawing/2014/main" id="{577E3CF8-3F42-414C-BD86-15B423847F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Remove Type B or D Admixture (not on APL)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19</xdr:row>
          <xdr:rowOff>7620</xdr:rowOff>
        </xdr:from>
        <xdr:to>
          <xdr:col>2</xdr:col>
          <xdr:colOff>1196340</xdr:colOff>
          <xdr:row>20</xdr:row>
          <xdr:rowOff>38100</xdr:rowOff>
        </xdr:to>
        <xdr:sp macro="" textlink="">
          <xdr:nvSpPr>
            <xdr:cNvPr id="17427" name="Check Box 19" hidden="1">
              <a:extLst>
                <a:ext uri="{63B3BB69-23CF-44E3-9099-C40C66FF867C}">
                  <a14:compatExt spid="_x0000_s17427"/>
                </a:ext>
                <a:ext uri="{FF2B5EF4-FFF2-40B4-BE49-F238E27FC236}">
                  <a16:creationId xmlns:a16="http://schemas.microsoft.com/office/drawing/2014/main" id="{6E6E1897-068E-4B89-B30F-A1BC6AC4F5D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Remove Type B or D Admixture (on APL)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20</xdr:row>
          <xdr:rowOff>7620</xdr:rowOff>
        </xdr:from>
        <xdr:to>
          <xdr:col>2</xdr:col>
          <xdr:colOff>1196340</xdr:colOff>
          <xdr:row>21</xdr:row>
          <xdr:rowOff>38100</xdr:rowOff>
        </xdr:to>
        <xdr:sp macro="" textlink="">
          <xdr:nvSpPr>
            <xdr:cNvPr id="17428" name="Check Box 20" hidden="1">
              <a:extLst>
                <a:ext uri="{63B3BB69-23CF-44E3-9099-C40C66FF867C}">
                  <a14:compatExt spid="_x0000_s17428"/>
                </a:ext>
                <a:ext uri="{FF2B5EF4-FFF2-40B4-BE49-F238E27FC236}">
                  <a16:creationId xmlns:a16="http://schemas.microsoft.com/office/drawing/2014/main" id="{87220472-7889-4A76-9613-1E37B9DAD6E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Aggregate Blend / Agg Quality Update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11</xdr:row>
          <xdr:rowOff>0</xdr:rowOff>
        </xdr:from>
        <xdr:to>
          <xdr:col>7</xdr:col>
          <xdr:colOff>944880</xdr:colOff>
          <xdr:row>12</xdr:row>
          <xdr:rowOff>22860</xdr:rowOff>
        </xdr:to>
        <xdr:sp macro="" textlink="">
          <xdr:nvSpPr>
            <xdr:cNvPr id="17429" name="Check Box 21" hidden="1">
              <a:extLst>
                <a:ext uri="{63B3BB69-23CF-44E3-9099-C40C66FF867C}">
                  <a14:compatExt spid="_x0000_s17429"/>
                </a:ext>
                <a:ext uri="{FF2B5EF4-FFF2-40B4-BE49-F238E27FC236}">
                  <a16:creationId xmlns:a16="http://schemas.microsoft.com/office/drawing/2014/main" id="{228252DE-36CF-49B0-8E29-5E795F6794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Yes (New 132)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990600</xdr:colOff>
          <xdr:row>11</xdr:row>
          <xdr:rowOff>22860</xdr:rowOff>
        </xdr:from>
        <xdr:to>
          <xdr:col>8</xdr:col>
          <xdr:colOff>1082040</xdr:colOff>
          <xdr:row>12</xdr:row>
          <xdr:rowOff>15240</xdr:rowOff>
        </xdr:to>
        <xdr:sp macro="" textlink="">
          <xdr:nvSpPr>
            <xdr:cNvPr id="17430" name="Check Box 22" hidden="1">
              <a:extLst>
                <a:ext uri="{63B3BB69-23CF-44E3-9099-C40C66FF867C}">
                  <a14:compatExt spid="_x0000_s17430"/>
                </a:ext>
                <a:ext uri="{FF2B5EF4-FFF2-40B4-BE49-F238E27FC236}">
                  <a16:creationId xmlns:a16="http://schemas.microsoft.com/office/drawing/2014/main" id="{FE3B6FB8-4D9D-4E3D-96DF-26335618D0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48</xdr:row>
          <xdr:rowOff>0</xdr:rowOff>
        </xdr:from>
        <xdr:to>
          <xdr:col>2</xdr:col>
          <xdr:colOff>152400</xdr:colOff>
          <xdr:row>49</xdr:row>
          <xdr:rowOff>30480</xdr:rowOff>
        </xdr:to>
        <xdr:sp macro="" textlink="">
          <xdr:nvSpPr>
            <xdr:cNvPr id="17431" name="Check Box 23" hidden="1">
              <a:extLst>
                <a:ext uri="{63B3BB69-23CF-44E3-9099-C40C66FF867C}">
                  <a14:compatExt spid="_x0000_s17431"/>
                </a:ext>
                <a:ext uri="{FF2B5EF4-FFF2-40B4-BE49-F238E27FC236}">
                  <a16:creationId xmlns:a16="http://schemas.microsoft.com/office/drawing/2014/main" id="{B0832FE6-B20B-47BC-A065-DC028C9F90B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Level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990600</xdr:colOff>
          <xdr:row>48</xdr:row>
          <xdr:rowOff>22860</xdr:rowOff>
        </xdr:from>
        <xdr:to>
          <xdr:col>2</xdr:col>
          <xdr:colOff>1158240</xdr:colOff>
          <xdr:row>49</xdr:row>
          <xdr:rowOff>15240</xdr:rowOff>
        </xdr:to>
        <xdr:sp macro="" textlink="">
          <xdr:nvSpPr>
            <xdr:cNvPr id="17432" name="Check Box 24" hidden="1">
              <a:extLst>
                <a:ext uri="{63B3BB69-23CF-44E3-9099-C40C66FF867C}">
                  <a14:compatExt spid="_x0000_s17432"/>
                </a:ext>
                <a:ext uri="{FF2B5EF4-FFF2-40B4-BE49-F238E27FC236}">
                  <a16:creationId xmlns:a16="http://schemas.microsoft.com/office/drawing/2014/main" id="{1085B65D-40CB-405D-8277-2FEEE84E83F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Level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48</xdr:row>
          <xdr:rowOff>0</xdr:rowOff>
        </xdr:from>
        <xdr:to>
          <xdr:col>3</xdr:col>
          <xdr:colOff>944880</xdr:colOff>
          <xdr:row>49</xdr:row>
          <xdr:rowOff>30480</xdr:rowOff>
        </xdr:to>
        <xdr:sp macro="" textlink="">
          <xdr:nvSpPr>
            <xdr:cNvPr id="17433" name="Check Box 25" hidden="1">
              <a:extLst>
                <a:ext uri="{63B3BB69-23CF-44E3-9099-C40C66FF867C}">
                  <a14:compatExt spid="_x0000_s17433"/>
                </a:ext>
                <a:ext uri="{FF2B5EF4-FFF2-40B4-BE49-F238E27FC236}">
                  <a16:creationId xmlns:a16="http://schemas.microsoft.com/office/drawing/2014/main" id="{0E7BA29D-580A-409F-BEBE-0DDAF9923A1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Not Required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990600</xdr:colOff>
          <xdr:row>48</xdr:row>
          <xdr:rowOff>22860</xdr:rowOff>
        </xdr:from>
        <xdr:to>
          <xdr:col>4</xdr:col>
          <xdr:colOff>662940</xdr:colOff>
          <xdr:row>49</xdr:row>
          <xdr:rowOff>15240</xdr:rowOff>
        </xdr:to>
        <xdr:sp macro="" textlink="">
          <xdr:nvSpPr>
            <xdr:cNvPr id="17434" name="Check Box 26" hidden="1">
              <a:extLst>
                <a:ext uri="{63B3BB69-23CF-44E3-9099-C40C66FF867C}">
                  <a14:compatExt spid="_x0000_s17434"/>
                </a:ext>
                <a:ext uri="{FF2B5EF4-FFF2-40B4-BE49-F238E27FC236}">
                  <a16:creationId xmlns:a16="http://schemas.microsoft.com/office/drawing/2014/main" id="{661F2F91-7D30-4706-8A13-D2A6FE4D65D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Required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48</xdr:row>
          <xdr:rowOff>0</xdr:rowOff>
        </xdr:from>
        <xdr:to>
          <xdr:col>5</xdr:col>
          <xdr:colOff>944880</xdr:colOff>
          <xdr:row>49</xdr:row>
          <xdr:rowOff>30480</xdr:rowOff>
        </xdr:to>
        <xdr:sp macro="" textlink="">
          <xdr:nvSpPr>
            <xdr:cNvPr id="17435" name="Check Box 27" hidden="1">
              <a:extLst>
                <a:ext uri="{63B3BB69-23CF-44E3-9099-C40C66FF867C}">
                  <a14:compatExt spid="_x0000_s17435"/>
                </a:ext>
                <a:ext uri="{FF2B5EF4-FFF2-40B4-BE49-F238E27FC236}">
                  <a16:creationId xmlns:a16="http://schemas.microsoft.com/office/drawing/2014/main" id="{270805A6-2A4D-4EF3-AD54-0788159A1F7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Not Required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990600</xdr:colOff>
          <xdr:row>48</xdr:row>
          <xdr:rowOff>22860</xdr:rowOff>
        </xdr:from>
        <xdr:to>
          <xdr:col>6</xdr:col>
          <xdr:colOff>1074420</xdr:colOff>
          <xdr:row>49</xdr:row>
          <xdr:rowOff>15240</xdr:rowOff>
        </xdr:to>
        <xdr:sp macro="" textlink="">
          <xdr:nvSpPr>
            <xdr:cNvPr id="17436" name="Check Box 28" hidden="1">
              <a:extLst>
                <a:ext uri="{63B3BB69-23CF-44E3-9099-C40C66FF867C}">
                  <a14:compatExt spid="_x0000_s17436"/>
                </a:ext>
                <a:ext uri="{FF2B5EF4-FFF2-40B4-BE49-F238E27FC236}">
                  <a16:creationId xmlns:a16="http://schemas.microsoft.com/office/drawing/2014/main" id="{185283AE-69ED-4A8C-AA2A-6998DC532A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Required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50</xdr:row>
          <xdr:rowOff>7620</xdr:rowOff>
        </xdr:from>
        <xdr:to>
          <xdr:col>2</xdr:col>
          <xdr:colOff>1196340</xdr:colOff>
          <xdr:row>51</xdr:row>
          <xdr:rowOff>38100</xdr:rowOff>
        </xdr:to>
        <xdr:sp macro="" textlink="">
          <xdr:nvSpPr>
            <xdr:cNvPr id="17437" name="Check Box 29" hidden="1">
              <a:extLst>
                <a:ext uri="{63B3BB69-23CF-44E3-9099-C40C66FF867C}">
                  <a14:compatExt spid="_x0000_s17437"/>
                </a:ext>
                <a:ext uri="{FF2B5EF4-FFF2-40B4-BE49-F238E27FC236}">
                  <a16:creationId xmlns:a16="http://schemas.microsoft.com/office/drawing/2014/main" id="{A718BE08-5165-4FE3-B4D1-8251EC0ACE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Water Source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50</xdr:row>
          <xdr:rowOff>0</xdr:rowOff>
        </xdr:from>
        <xdr:to>
          <xdr:col>6</xdr:col>
          <xdr:colOff>1463040</xdr:colOff>
          <xdr:row>51</xdr:row>
          <xdr:rowOff>38100</xdr:rowOff>
        </xdr:to>
        <xdr:sp macro="" textlink="">
          <xdr:nvSpPr>
            <xdr:cNvPr id="17438" name="Check Box 30" hidden="1">
              <a:extLst>
                <a:ext uri="{63B3BB69-23CF-44E3-9099-C40C66FF867C}">
                  <a14:compatExt spid="_x0000_s17438"/>
                </a:ext>
                <a:ext uri="{FF2B5EF4-FFF2-40B4-BE49-F238E27FC236}">
                  <a16:creationId xmlns:a16="http://schemas.microsoft.com/office/drawing/2014/main" id="{2E039B18-048D-4500-A7BE-B433F0EADC6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Total Cementitous  QTY (HES/SHES)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50</xdr:row>
          <xdr:rowOff>182880</xdr:rowOff>
        </xdr:from>
        <xdr:to>
          <xdr:col>2</xdr:col>
          <xdr:colOff>1211580</xdr:colOff>
          <xdr:row>52</xdr:row>
          <xdr:rowOff>53340</xdr:rowOff>
        </xdr:to>
        <xdr:sp macro="" textlink="">
          <xdr:nvSpPr>
            <xdr:cNvPr id="17439" name="Check Box 31" hidden="1">
              <a:extLst>
                <a:ext uri="{63B3BB69-23CF-44E3-9099-C40C66FF867C}">
                  <a14:compatExt spid="_x0000_s17439"/>
                </a:ext>
                <a:ext uri="{FF2B5EF4-FFF2-40B4-BE49-F238E27FC236}">
                  <a16:creationId xmlns:a16="http://schemas.microsoft.com/office/drawing/2014/main" id="{7B4EAD04-F4CC-44A1-8179-8064296AEEA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Add Color Pigment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51</xdr:row>
          <xdr:rowOff>0</xdr:rowOff>
        </xdr:from>
        <xdr:to>
          <xdr:col>6</xdr:col>
          <xdr:colOff>1463040</xdr:colOff>
          <xdr:row>52</xdr:row>
          <xdr:rowOff>38100</xdr:rowOff>
        </xdr:to>
        <xdr:sp macro="" textlink="">
          <xdr:nvSpPr>
            <xdr:cNvPr id="17440" name="Check Box 32" hidden="1">
              <a:extLst>
                <a:ext uri="{63B3BB69-23CF-44E3-9099-C40C66FF867C}">
                  <a14:compatExt spid="_x0000_s17440"/>
                </a:ext>
                <a:ext uri="{FF2B5EF4-FFF2-40B4-BE49-F238E27FC236}">
                  <a16:creationId xmlns:a16="http://schemas.microsoft.com/office/drawing/2014/main" id="{F333AA36-E498-49F5-A89C-198EF9FA4F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SCM Replacement Rate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52</xdr:row>
          <xdr:rowOff>7620</xdr:rowOff>
        </xdr:from>
        <xdr:to>
          <xdr:col>2</xdr:col>
          <xdr:colOff>1196340</xdr:colOff>
          <xdr:row>53</xdr:row>
          <xdr:rowOff>38100</xdr:rowOff>
        </xdr:to>
        <xdr:sp macro="" textlink="">
          <xdr:nvSpPr>
            <xdr:cNvPr id="17441" name="Check Box 33" hidden="1">
              <a:extLst>
                <a:ext uri="{63B3BB69-23CF-44E3-9099-C40C66FF867C}">
                  <a14:compatExt spid="_x0000_s17441"/>
                </a:ext>
                <a:ext uri="{FF2B5EF4-FFF2-40B4-BE49-F238E27FC236}">
                  <a16:creationId xmlns:a16="http://schemas.microsoft.com/office/drawing/2014/main" id="{10C9C4D9-9586-4849-B341-70D7328D33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Fly Ash Class C Source (Pavement/Barrier)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52</xdr:row>
          <xdr:rowOff>0</xdr:rowOff>
        </xdr:from>
        <xdr:to>
          <xdr:col>6</xdr:col>
          <xdr:colOff>1463040</xdr:colOff>
          <xdr:row>53</xdr:row>
          <xdr:rowOff>38100</xdr:rowOff>
        </xdr:to>
        <xdr:sp macro="" textlink="">
          <xdr:nvSpPr>
            <xdr:cNvPr id="17442" name="Check Box 34" hidden="1">
              <a:extLst>
                <a:ext uri="{63B3BB69-23CF-44E3-9099-C40C66FF867C}">
                  <a14:compatExt spid="_x0000_s17442"/>
                </a:ext>
                <a:ext uri="{FF2B5EF4-FFF2-40B4-BE49-F238E27FC236}">
                  <a16:creationId xmlns:a16="http://schemas.microsoft.com/office/drawing/2014/main" id="{70260141-3EBE-49F3-A60B-F0DA45C2594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Fly Ash Class F Source (Pavement/Barrier)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53</xdr:row>
          <xdr:rowOff>7620</xdr:rowOff>
        </xdr:from>
        <xdr:to>
          <xdr:col>2</xdr:col>
          <xdr:colOff>1196340</xdr:colOff>
          <xdr:row>54</xdr:row>
          <xdr:rowOff>38100</xdr:rowOff>
        </xdr:to>
        <xdr:sp macro="" textlink="">
          <xdr:nvSpPr>
            <xdr:cNvPr id="17443" name="Check Box 35" hidden="1">
              <a:extLst>
                <a:ext uri="{63B3BB69-23CF-44E3-9099-C40C66FF867C}">
                  <a14:compatExt spid="_x0000_s17443"/>
                </a:ext>
                <a:ext uri="{FF2B5EF4-FFF2-40B4-BE49-F238E27FC236}">
                  <a16:creationId xmlns:a16="http://schemas.microsoft.com/office/drawing/2014/main" id="{0159DFBD-051A-4A12-82DC-ECFF5394354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Slag Source (same grade)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53</xdr:row>
          <xdr:rowOff>0</xdr:rowOff>
        </xdr:from>
        <xdr:to>
          <xdr:col>6</xdr:col>
          <xdr:colOff>1463040</xdr:colOff>
          <xdr:row>54</xdr:row>
          <xdr:rowOff>38100</xdr:rowOff>
        </xdr:to>
        <xdr:sp macro="" textlink="">
          <xdr:nvSpPr>
            <xdr:cNvPr id="17444" name="Check Box 36" hidden="1">
              <a:extLst>
                <a:ext uri="{63B3BB69-23CF-44E3-9099-C40C66FF867C}">
                  <a14:compatExt spid="_x0000_s17444"/>
                </a:ext>
                <a:ext uri="{FF2B5EF4-FFF2-40B4-BE49-F238E27FC236}">
                  <a16:creationId xmlns:a16="http://schemas.microsoft.com/office/drawing/2014/main" id="{2DE4C3C9-83A5-4469-8E49-37FD7C5696D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Slag Source (different grade)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54</xdr:row>
          <xdr:rowOff>7620</xdr:rowOff>
        </xdr:from>
        <xdr:to>
          <xdr:col>2</xdr:col>
          <xdr:colOff>1196340</xdr:colOff>
          <xdr:row>55</xdr:row>
          <xdr:rowOff>38100</xdr:rowOff>
        </xdr:to>
        <xdr:sp macro="" textlink="">
          <xdr:nvSpPr>
            <xdr:cNvPr id="17445" name="Check Box 37" hidden="1">
              <a:extLst>
                <a:ext uri="{63B3BB69-23CF-44E3-9099-C40C66FF867C}">
                  <a14:compatExt spid="_x0000_s17445"/>
                </a:ext>
                <a:ext uri="{FF2B5EF4-FFF2-40B4-BE49-F238E27FC236}">
                  <a16:creationId xmlns:a16="http://schemas.microsoft.com/office/drawing/2014/main" id="{316911A8-29AE-4C5E-A437-571078C883B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Admix Dosage Rate (on APL)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54</xdr:row>
          <xdr:rowOff>0</xdr:rowOff>
        </xdr:from>
        <xdr:to>
          <xdr:col>6</xdr:col>
          <xdr:colOff>1463040</xdr:colOff>
          <xdr:row>55</xdr:row>
          <xdr:rowOff>38100</xdr:rowOff>
        </xdr:to>
        <xdr:sp macro="" textlink="">
          <xdr:nvSpPr>
            <xdr:cNvPr id="17446" name="Check Box 38" hidden="1">
              <a:extLst>
                <a:ext uri="{63B3BB69-23CF-44E3-9099-C40C66FF867C}">
                  <a14:compatExt spid="_x0000_s17446"/>
                </a:ext>
                <a:ext uri="{FF2B5EF4-FFF2-40B4-BE49-F238E27FC236}">
                  <a16:creationId xmlns:a16="http://schemas.microsoft.com/office/drawing/2014/main" id="{90622D35-6938-41D6-B124-2C6929A3F3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Add Type B or D Admixture (not on APL)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55</xdr:row>
          <xdr:rowOff>7620</xdr:rowOff>
        </xdr:from>
        <xdr:to>
          <xdr:col>2</xdr:col>
          <xdr:colOff>1196340</xdr:colOff>
          <xdr:row>56</xdr:row>
          <xdr:rowOff>38100</xdr:rowOff>
        </xdr:to>
        <xdr:sp macro="" textlink="">
          <xdr:nvSpPr>
            <xdr:cNvPr id="17447" name="Check Box 39" hidden="1">
              <a:extLst>
                <a:ext uri="{63B3BB69-23CF-44E3-9099-C40C66FF867C}">
                  <a14:compatExt spid="_x0000_s17447"/>
                </a:ext>
                <a:ext uri="{FF2B5EF4-FFF2-40B4-BE49-F238E27FC236}">
                  <a16:creationId xmlns:a16="http://schemas.microsoft.com/office/drawing/2014/main" id="{46948CA1-0711-4D17-A553-1679E8881A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Add Type B or D Admixture (on APL)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55</xdr:row>
          <xdr:rowOff>0</xdr:rowOff>
        </xdr:from>
        <xdr:to>
          <xdr:col>6</xdr:col>
          <xdr:colOff>1463040</xdr:colOff>
          <xdr:row>56</xdr:row>
          <xdr:rowOff>38100</xdr:rowOff>
        </xdr:to>
        <xdr:sp macro="" textlink="">
          <xdr:nvSpPr>
            <xdr:cNvPr id="17448" name="Check Box 40" hidden="1">
              <a:extLst>
                <a:ext uri="{63B3BB69-23CF-44E3-9099-C40C66FF867C}">
                  <a14:compatExt spid="_x0000_s17448"/>
                </a:ext>
                <a:ext uri="{FF2B5EF4-FFF2-40B4-BE49-F238E27FC236}">
                  <a16:creationId xmlns:a16="http://schemas.microsoft.com/office/drawing/2014/main" id="{55C3228F-0085-44F7-9D8A-DBF0A657404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Remove Type B or D Admixture (not on APL)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56</xdr:row>
          <xdr:rowOff>7620</xdr:rowOff>
        </xdr:from>
        <xdr:to>
          <xdr:col>2</xdr:col>
          <xdr:colOff>1196340</xdr:colOff>
          <xdr:row>57</xdr:row>
          <xdr:rowOff>38100</xdr:rowOff>
        </xdr:to>
        <xdr:sp macro="" textlink="">
          <xdr:nvSpPr>
            <xdr:cNvPr id="17449" name="Check Box 41" hidden="1">
              <a:extLst>
                <a:ext uri="{63B3BB69-23CF-44E3-9099-C40C66FF867C}">
                  <a14:compatExt spid="_x0000_s17449"/>
                </a:ext>
                <a:ext uri="{FF2B5EF4-FFF2-40B4-BE49-F238E27FC236}">
                  <a16:creationId xmlns:a16="http://schemas.microsoft.com/office/drawing/2014/main" id="{B8FFF6ED-516C-4B2A-88F4-C3FA208C21B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Remove Type B or D Admixture (on APL)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57</xdr:row>
          <xdr:rowOff>7620</xdr:rowOff>
        </xdr:from>
        <xdr:to>
          <xdr:col>2</xdr:col>
          <xdr:colOff>1196340</xdr:colOff>
          <xdr:row>58</xdr:row>
          <xdr:rowOff>38100</xdr:rowOff>
        </xdr:to>
        <xdr:sp macro="" textlink="">
          <xdr:nvSpPr>
            <xdr:cNvPr id="17450" name="Check Box 42" hidden="1">
              <a:extLst>
                <a:ext uri="{63B3BB69-23CF-44E3-9099-C40C66FF867C}">
                  <a14:compatExt spid="_x0000_s17450"/>
                </a:ext>
                <a:ext uri="{FF2B5EF4-FFF2-40B4-BE49-F238E27FC236}">
                  <a16:creationId xmlns:a16="http://schemas.microsoft.com/office/drawing/2014/main" id="{AA0F1F8D-B4DC-4001-A246-03A6088BFDE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Aggregate Blend / Agg Quality Update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48</xdr:row>
          <xdr:rowOff>0</xdr:rowOff>
        </xdr:from>
        <xdr:to>
          <xdr:col>7</xdr:col>
          <xdr:colOff>944880</xdr:colOff>
          <xdr:row>49</xdr:row>
          <xdr:rowOff>30480</xdr:rowOff>
        </xdr:to>
        <xdr:sp macro="" textlink="">
          <xdr:nvSpPr>
            <xdr:cNvPr id="17451" name="Check Box 43" hidden="1">
              <a:extLst>
                <a:ext uri="{63B3BB69-23CF-44E3-9099-C40C66FF867C}">
                  <a14:compatExt spid="_x0000_s17451"/>
                </a:ext>
                <a:ext uri="{FF2B5EF4-FFF2-40B4-BE49-F238E27FC236}">
                  <a16:creationId xmlns:a16="http://schemas.microsoft.com/office/drawing/2014/main" id="{76710F83-7142-44DE-BCBF-2303B7F6D5E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Yes (New 132)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990600</xdr:colOff>
          <xdr:row>48</xdr:row>
          <xdr:rowOff>22860</xdr:rowOff>
        </xdr:from>
        <xdr:to>
          <xdr:col>8</xdr:col>
          <xdr:colOff>1082040</xdr:colOff>
          <xdr:row>49</xdr:row>
          <xdr:rowOff>30480</xdr:rowOff>
        </xdr:to>
        <xdr:sp macro="" textlink="">
          <xdr:nvSpPr>
            <xdr:cNvPr id="17452" name="Check Box 44" hidden="1">
              <a:extLst>
                <a:ext uri="{63B3BB69-23CF-44E3-9099-C40C66FF867C}">
                  <a14:compatExt spid="_x0000_s17452"/>
                </a:ext>
                <a:ext uri="{FF2B5EF4-FFF2-40B4-BE49-F238E27FC236}">
                  <a16:creationId xmlns:a16="http://schemas.microsoft.com/office/drawing/2014/main" id="{43EDD8F4-0918-4EE7-8EEB-93E52359354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85</xdr:row>
          <xdr:rowOff>0</xdr:rowOff>
        </xdr:from>
        <xdr:to>
          <xdr:col>2</xdr:col>
          <xdr:colOff>152400</xdr:colOff>
          <xdr:row>86</xdr:row>
          <xdr:rowOff>30480</xdr:rowOff>
        </xdr:to>
        <xdr:sp macro="" textlink="">
          <xdr:nvSpPr>
            <xdr:cNvPr id="17453" name="Check Box 45" hidden="1">
              <a:extLst>
                <a:ext uri="{63B3BB69-23CF-44E3-9099-C40C66FF867C}">
                  <a14:compatExt spid="_x0000_s17453"/>
                </a:ext>
                <a:ext uri="{FF2B5EF4-FFF2-40B4-BE49-F238E27FC236}">
                  <a16:creationId xmlns:a16="http://schemas.microsoft.com/office/drawing/2014/main" id="{DEAA87B1-9201-410A-A5E8-AA06071BF88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Level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990600</xdr:colOff>
          <xdr:row>85</xdr:row>
          <xdr:rowOff>22860</xdr:rowOff>
        </xdr:from>
        <xdr:to>
          <xdr:col>2</xdr:col>
          <xdr:colOff>1158240</xdr:colOff>
          <xdr:row>86</xdr:row>
          <xdr:rowOff>15240</xdr:rowOff>
        </xdr:to>
        <xdr:sp macro="" textlink="">
          <xdr:nvSpPr>
            <xdr:cNvPr id="17454" name="Check Box 46" hidden="1">
              <a:extLst>
                <a:ext uri="{63B3BB69-23CF-44E3-9099-C40C66FF867C}">
                  <a14:compatExt spid="_x0000_s17454"/>
                </a:ext>
                <a:ext uri="{FF2B5EF4-FFF2-40B4-BE49-F238E27FC236}">
                  <a16:creationId xmlns:a16="http://schemas.microsoft.com/office/drawing/2014/main" id="{821DF6D5-D648-458C-8585-C6C2D1DB7C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Level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85</xdr:row>
          <xdr:rowOff>0</xdr:rowOff>
        </xdr:from>
        <xdr:to>
          <xdr:col>3</xdr:col>
          <xdr:colOff>944880</xdr:colOff>
          <xdr:row>86</xdr:row>
          <xdr:rowOff>30480</xdr:rowOff>
        </xdr:to>
        <xdr:sp macro="" textlink="">
          <xdr:nvSpPr>
            <xdr:cNvPr id="17455" name="Check Box 47" hidden="1">
              <a:extLst>
                <a:ext uri="{63B3BB69-23CF-44E3-9099-C40C66FF867C}">
                  <a14:compatExt spid="_x0000_s17455"/>
                </a:ext>
                <a:ext uri="{FF2B5EF4-FFF2-40B4-BE49-F238E27FC236}">
                  <a16:creationId xmlns:a16="http://schemas.microsoft.com/office/drawing/2014/main" id="{0EDDF4A4-FF77-414E-9E86-EE79634DC25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Not Required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990600</xdr:colOff>
          <xdr:row>85</xdr:row>
          <xdr:rowOff>22860</xdr:rowOff>
        </xdr:from>
        <xdr:to>
          <xdr:col>4</xdr:col>
          <xdr:colOff>662940</xdr:colOff>
          <xdr:row>86</xdr:row>
          <xdr:rowOff>15240</xdr:rowOff>
        </xdr:to>
        <xdr:sp macro="" textlink="">
          <xdr:nvSpPr>
            <xdr:cNvPr id="17456" name="Check Box 48" hidden="1">
              <a:extLst>
                <a:ext uri="{63B3BB69-23CF-44E3-9099-C40C66FF867C}">
                  <a14:compatExt spid="_x0000_s17456"/>
                </a:ext>
                <a:ext uri="{FF2B5EF4-FFF2-40B4-BE49-F238E27FC236}">
                  <a16:creationId xmlns:a16="http://schemas.microsoft.com/office/drawing/2014/main" id="{B5A3AFBD-15DC-4FAD-AB09-772136F43B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Required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85</xdr:row>
          <xdr:rowOff>0</xdr:rowOff>
        </xdr:from>
        <xdr:to>
          <xdr:col>5</xdr:col>
          <xdr:colOff>944880</xdr:colOff>
          <xdr:row>86</xdr:row>
          <xdr:rowOff>30480</xdr:rowOff>
        </xdr:to>
        <xdr:sp macro="" textlink="">
          <xdr:nvSpPr>
            <xdr:cNvPr id="17457" name="Check Box 49" hidden="1">
              <a:extLst>
                <a:ext uri="{63B3BB69-23CF-44E3-9099-C40C66FF867C}">
                  <a14:compatExt spid="_x0000_s17457"/>
                </a:ext>
                <a:ext uri="{FF2B5EF4-FFF2-40B4-BE49-F238E27FC236}">
                  <a16:creationId xmlns:a16="http://schemas.microsoft.com/office/drawing/2014/main" id="{3009DA3B-A103-4F2A-9F38-03E02E2B3EF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Not Required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990600</xdr:colOff>
          <xdr:row>85</xdr:row>
          <xdr:rowOff>22860</xdr:rowOff>
        </xdr:from>
        <xdr:to>
          <xdr:col>6</xdr:col>
          <xdr:colOff>1074420</xdr:colOff>
          <xdr:row>86</xdr:row>
          <xdr:rowOff>15240</xdr:rowOff>
        </xdr:to>
        <xdr:sp macro="" textlink="">
          <xdr:nvSpPr>
            <xdr:cNvPr id="17458" name="Check Box 50" hidden="1">
              <a:extLst>
                <a:ext uri="{63B3BB69-23CF-44E3-9099-C40C66FF867C}">
                  <a14:compatExt spid="_x0000_s17458"/>
                </a:ext>
                <a:ext uri="{FF2B5EF4-FFF2-40B4-BE49-F238E27FC236}">
                  <a16:creationId xmlns:a16="http://schemas.microsoft.com/office/drawing/2014/main" id="{853959EE-27EB-4F2F-ADE4-96AD319CED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Required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87</xdr:row>
          <xdr:rowOff>7620</xdr:rowOff>
        </xdr:from>
        <xdr:to>
          <xdr:col>2</xdr:col>
          <xdr:colOff>1196340</xdr:colOff>
          <xdr:row>88</xdr:row>
          <xdr:rowOff>38100</xdr:rowOff>
        </xdr:to>
        <xdr:sp macro="" textlink="">
          <xdr:nvSpPr>
            <xdr:cNvPr id="17459" name="Check Box 51" hidden="1">
              <a:extLst>
                <a:ext uri="{63B3BB69-23CF-44E3-9099-C40C66FF867C}">
                  <a14:compatExt spid="_x0000_s17459"/>
                </a:ext>
                <a:ext uri="{FF2B5EF4-FFF2-40B4-BE49-F238E27FC236}">
                  <a16:creationId xmlns:a16="http://schemas.microsoft.com/office/drawing/2014/main" id="{88963318-0844-4482-AD1B-CCDFC3DA6FB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Water Source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87</xdr:row>
          <xdr:rowOff>0</xdr:rowOff>
        </xdr:from>
        <xdr:to>
          <xdr:col>6</xdr:col>
          <xdr:colOff>1463040</xdr:colOff>
          <xdr:row>88</xdr:row>
          <xdr:rowOff>38100</xdr:rowOff>
        </xdr:to>
        <xdr:sp macro="" textlink="">
          <xdr:nvSpPr>
            <xdr:cNvPr id="17460" name="Check Box 52" hidden="1">
              <a:extLst>
                <a:ext uri="{63B3BB69-23CF-44E3-9099-C40C66FF867C}">
                  <a14:compatExt spid="_x0000_s17460"/>
                </a:ext>
                <a:ext uri="{FF2B5EF4-FFF2-40B4-BE49-F238E27FC236}">
                  <a16:creationId xmlns:a16="http://schemas.microsoft.com/office/drawing/2014/main" id="{1FE128CE-34A1-4B86-8DED-7B2DCD670AE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Total Cementitous  QTY (HES/SHES)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87</xdr:row>
          <xdr:rowOff>182880</xdr:rowOff>
        </xdr:from>
        <xdr:to>
          <xdr:col>2</xdr:col>
          <xdr:colOff>1211580</xdr:colOff>
          <xdr:row>89</xdr:row>
          <xdr:rowOff>53340</xdr:rowOff>
        </xdr:to>
        <xdr:sp macro="" textlink="">
          <xdr:nvSpPr>
            <xdr:cNvPr id="17461" name="Check Box 53" hidden="1">
              <a:extLst>
                <a:ext uri="{63B3BB69-23CF-44E3-9099-C40C66FF867C}">
                  <a14:compatExt spid="_x0000_s17461"/>
                </a:ext>
                <a:ext uri="{FF2B5EF4-FFF2-40B4-BE49-F238E27FC236}">
                  <a16:creationId xmlns:a16="http://schemas.microsoft.com/office/drawing/2014/main" id="{6DEBC142-1682-424C-A965-EC71292C705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Add Color Pigment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88</xdr:row>
          <xdr:rowOff>0</xdr:rowOff>
        </xdr:from>
        <xdr:to>
          <xdr:col>6</xdr:col>
          <xdr:colOff>1463040</xdr:colOff>
          <xdr:row>89</xdr:row>
          <xdr:rowOff>38100</xdr:rowOff>
        </xdr:to>
        <xdr:sp macro="" textlink="">
          <xdr:nvSpPr>
            <xdr:cNvPr id="17462" name="Check Box 54" hidden="1">
              <a:extLst>
                <a:ext uri="{63B3BB69-23CF-44E3-9099-C40C66FF867C}">
                  <a14:compatExt spid="_x0000_s17462"/>
                </a:ext>
                <a:ext uri="{FF2B5EF4-FFF2-40B4-BE49-F238E27FC236}">
                  <a16:creationId xmlns:a16="http://schemas.microsoft.com/office/drawing/2014/main" id="{002EC95B-027B-447C-A2D9-4102124F156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SCM Replacement Rate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89</xdr:row>
          <xdr:rowOff>7620</xdr:rowOff>
        </xdr:from>
        <xdr:to>
          <xdr:col>2</xdr:col>
          <xdr:colOff>1196340</xdr:colOff>
          <xdr:row>90</xdr:row>
          <xdr:rowOff>38100</xdr:rowOff>
        </xdr:to>
        <xdr:sp macro="" textlink="">
          <xdr:nvSpPr>
            <xdr:cNvPr id="17463" name="Check Box 55" hidden="1">
              <a:extLst>
                <a:ext uri="{63B3BB69-23CF-44E3-9099-C40C66FF867C}">
                  <a14:compatExt spid="_x0000_s17463"/>
                </a:ext>
                <a:ext uri="{FF2B5EF4-FFF2-40B4-BE49-F238E27FC236}">
                  <a16:creationId xmlns:a16="http://schemas.microsoft.com/office/drawing/2014/main" id="{B9AF029C-1263-42A5-A009-979C2F7293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Fly Ash Class C Source (Pavement/Barrier)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89</xdr:row>
          <xdr:rowOff>0</xdr:rowOff>
        </xdr:from>
        <xdr:to>
          <xdr:col>6</xdr:col>
          <xdr:colOff>1463040</xdr:colOff>
          <xdr:row>90</xdr:row>
          <xdr:rowOff>38100</xdr:rowOff>
        </xdr:to>
        <xdr:sp macro="" textlink="">
          <xdr:nvSpPr>
            <xdr:cNvPr id="17464" name="Check Box 56" hidden="1">
              <a:extLst>
                <a:ext uri="{63B3BB69-23CF-44E3-9099-C40C66FF867C}">
                  <a14:compatExt spid="_x0000_s17464"/>
                </a:ext>
                <a:ext uri="{FF2B5EF4-FFF2-40B4-BE49-F238E27FC236}">
                  <a16:creationId xmlns:a16="http://schemas.microsoft.com/office/drawing/2014/main" id="{DA9EB651-2097-4B19-9D8F-5535AADCB33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Fly Ash Class F Source (Pavement/Barrier)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90</xdr:row>
          <xdr:rowOff>7620</xdr:rowOff>
        </xdr:from>
        <xdr:to>
          <xdr:col>2</xdr:col>
          <xdr:colOff>1196340</xdr:colOff>
          <xdr:row>91</xdr:row>
          <xdr:rowOff>38100</xdr:rowOff>
        </xdr:to>
        <xdr:sp macro="" textlink="">
          <xdr:nvSpPr>
            <xdr:cNvPr id="17465" name="Check Box 57" hidden="1">
              <a:extLst>
                <a:ext uri="{63B3BB69-23CF-44E3-9099-C40C66FF867C}">
                  <a14:compatExt spid="_x0000_s17465"/>
                </a:ext>
                <a:ext uri="{FF2B5EF4-FFF2-40B4-BE49-F238E27FC236}">
                  <a16:creationId xmlns:a16="http://schemas.microsoft.com/office/drawing/2014/main" id="{C37BD2D4-0C6A-4FDF-834F-D22CC7D0218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Slag Source (same grade)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90</xdr:row>
          <xdr:rowOff>0</xdr:rowOff>
        </xdr:from>
        <xdr:to>
          <xdr:col>6</xdr:col>
          <xdr:colOff>1463040</xdr:colOff>
          <xdr:row>91</xdr:row>
          <xdr:rowOff>38100</xdr:rowOff>
        </xdr:to>
        <xdr:sp macro="" textlink="">
          <xdr:nvSpPr>
            <xdr:cNvPr id="17466" name="Check Box 58" hidden="1">
              <a:extLst>
                <a:ext uri="{63B3BB69-23CF-44E3-9099-C40C66FF867C}">
                  <a14:compatExt spid="_x0000_s17466"/>
                </a:ext>
                <a:ext uri="{FF2B5EF4-FFF2-40B4-BE49-F238E27FC236}">
                  <a16:creationId xmlns:a16="http://schemas.microsoft.com/office/drawing/2014/main" id="{86C45D33-6B8F-4547-8B5C-F7F9001E79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Slag Source (different grade)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91</xdr:row>
          <xdr:rowOff>7620</xdr:rowOff>
        </xdr:from>
        <xdr:to>
          <xdr:col>2</xdr:col>
          <xdr:colOff>1196340</xdr:colOff>
          <xdr:row>92</xdr:row>
          <xdr:rowOff>38100</xdr:rowOff>
        </xdr:to>
        <xdr:sp macro="" textlink="">
          <xdr:nvSpPr>
            <xdr:cNvPr id="17467" name="Check Box 59" hidden="1">
              <a:extLst>
                <a:ext uri="{63B3BB69-23CF-44E3-9099-C40C66FF867C}">
                  <a14:compatExt spid="_x0000_s17467"/>
                </a:ext>
                <a:ext uri="{FF2B5EF4-FFF2-40B4-BE49-F238E27FC236}">
                  <a16:creationId xmlns:a16="http://schemas.microsoft.com/office/drawing/2014/main" id="{5B851CE5-5FF5-401E-808D-BD57DDF6B0B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Admix Dosage Rate (on APL)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91</xdr:row>
          <xdr:rowOff>0</xdr:rowOff>
        </xdr:from>
        <xdr:to>
          <xdr:col>6</xdr:col>
          <xdr:colOff>1463040</xdr:colOff>
          <xdr:row>92</xdr:row>
          <xdr:rowOff>38100</xdr:rowOff>
        </xdr:to>
        <xdr:sp macro="" textlink="">
          <xdr:nvSpPr>
            <xdr:cNvPr id="17468" name="Check Box 60" hidden="1">
              <a:extLst>
                <a:ext uri="{63B3BB69-23CF-44E3-9099-C40C66FF867C}">
                  <a14:compatExt spid="_x0000_s17468"/>
                </a:ext>
                <a:ext uri="{FF2B5EF4-FFF2-40B4-BE49-F238E27FC236}">
                  <a16:creationId xmlns:a16="http://schemas.microsoft.com/office/drawing/2014/main" id="{F427A612-F62E-4C25-ABA8-FF2B2F726C7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Add Type B or D Admixture (not on APL)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92</xdr:row>
          <xdr:rowOff>7620</xdr:rowOff>
        </xdr:from>
        <xdr:to>
          <xdr:col>2</xdr:col>
          <xdr:colOff>1196340</xdr:colOff>
          <xdr:row>93</xdr:row>
          <xdr:rowOff>38100</xdr:rowOff>
        </xdr:to>
        <xdr:sp macro="" textlink="">
          <xdr:nvSpPr>
            <xdr:cNvPr id="17469" name="Check Box 61" hidden="1">
              <a:extLst>
                <a:ext uri="{63B3BB69-23CF-44E3-9099-C40C66FF867C}">
                  <a14:compatExt spid="_x0000_s17469"/>
                </a:ext>
                <a:ext uri="{FF2B5EF4-FFF2-40B4-BE49-F238E27FC236}">
                  <a16:creationId xmlns:a16="http://schemas.microsoft.com/office/drawing/2014/main" id="{DEA5435A-2BFD-4F18-AD4D-9AAAA54EA8D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Add Type B or D Admixture (on APL)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92</xdr:row>
          <xdr:rowOff>0</xdr:rowOff>
        </xdr:from>
        <xdr:to>
          <xdr:col>6</xdr:col>
          <xdr:colOff>1463040</xdr:colOff>
          <xdr:row>93</xdr:row>
          <xdr:rowOff>38100</xdr:rowOff>
        </xdr:to>
        <xdr:sp macro="" textlink="">
          <xdr:nvSpPr>
            <xdr:cNvPr id="17470" name="Check Box 62" hidden="1">
              <a:extLst>
                <a:ext uri="{63B3BB69-23CF-44E3-9099-C40C66FF867C}">
                  <a14:compatExt spid="_x0000_s17470"/>
                </a:ext>
                <a:ext uri="{FF2B5EF4-FFF2-40B4-BE49-F238E27FC236}">
                  <a16:creationId xmlns:a16="http://schemas.microsoft.com/office/drawing/2014/main" id="{4E4EA0DF-4073-41BF-98E7-AA8BFC08749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Remove Type B or D Admixture (not on APL)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93</xdr:row>
          <xdr:rowOff>7620</xdr:rowOff>
        </xdr:from>
        <xdr:to>
          <xdr:col>2</xdr:col>
          <xdr:colOff>1196340</xdr:colOff>
          <xdr:row>94</xdr:row>
          <xdr:rowOff>38100</xdr:rowOff>
        </xdr:to>
        <xdr:sp macro="" textlink="">
          <xdr:nvSpPr>
            <xdr:cNvPr id="17471" name="Check Box 63" hidden="1">
              <a:extLst>
                <a:ext uri="{63B3BB69-23CF-44E3-9099-C40C66FF867C}">
                  <a14:compatExt spid="_x0000_s17471"/>
                </a:ext>
                <a:ext uri="{FF2B5EF4-FFF2-40B4-BE49-F238E27FC236}">
                  <a16:creationId xmlns:a16="http://schemas.microsoft.com/office/drawing/2014/main" id="{0CEC5AA9-AF86-4BDD-9E89-3145A04C3A1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Remove Type B or D Admixture (on APL)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94</xdr:row>
          <xdr:rowOff>7620</xdr:rowOff>
        </xdr:from>
        <xdr:to>
          <xdr:col>2</xdr:col>
          <xdr:colOff>1196340</xdr:colOff>
          <xdr:row>95</xdr:row>
          <xdr:rowOff>38100</xdr:rowOff>
        </xdr:to>
        <xdr:sp macro="" textlink="">
          <xdr:nvSpPr>
            <xdr:cNvPr id="17472" name="Check Box 64" hidden="1">
              <a:extLst>
                <a:ext uri="{63B3BB69-23CF-44E3-9099-C40C66FF867C}">
                  <a14:compatExt spid="_x0000_s17472"/>
                </a:ext>
                <a:ext uri="{FF2B5EF4-FFF2-40B4-BE49-F238E27FC236}">
                  <a16:creationId xmlns:a16="http://schemas.microsoft.com/office/drawing/2014/main" id="{67DAD678-4A0F-423E-90AC-B9314417D6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Aggregate Blend / Agg Quality Update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85</xdr:row>
          <xdr:rowOff>0</xdr:rowOff>
        </xdr:from>
        <xdr:to>
          <xdr:col>7</xdr:col>
          <xdr:colOff>944880</xdr:colOff>
          <xdr:row>86</xdr:row>
          <xdr:rowOff>30480</xdr:rowOff>
        </xdr:to>
        <xdr:sp macro="" textlink="">
          <xdr:nvSpPr>
            <xdr:cNvPr id="17473" name="Check Box 65" hidden="1">
              <a:extLst>
                <a:ext uri="{63B3BB69-23CF-44E3-9099-C40C66FF867C}">
                  <a14:compatExt spid="_x0000_s17473"/>
                </a:ext>
                <a:ext uri="{FF2B5EF4-FFF2-40B4-BE49-F238E27FC236}">
                  <a16:creationId xmlns:a16="http://schemas.microsoft.com/office/drawing/2014/main" id="{84A8C624-48FE-4C7F-A948-0E5CC148DAD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Yes (New 132)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990600</xdr:colOff>
          <xdr:row>85</xdr:row>
          <xdr:rowOff>22860</xdr:rowOff>
        </xdr:from>
        <xdr:to>
          <xdr:col>8</xdr:col>
          <xdr:colOff>1082040</xdr:colOff>
          <xdr:row>86</xdr:row>
          <xdr:rowOff>30480</xdr:rowOff>
        </xdr:to>
        <xdr:sp macro="" textlink="">
          <xdr:nvSpPr>
            <xdr:cNvPr id="17474" name="Check Box 66" hidden="1">
              <a:extLst>
                <a:ext uri="{63B3BB69-23CF-44E3-9099-C40C66FF867C}">
                  <a14:compatExt spid="_x0000_s17474"/>
                </a:ext>
                <a:ext uri="{FF2B5EF4-FFF2-40B4-BE49-F238E27FC236}">
                  <a16:creationId xmlns:a16="http://schemas.microsoft.com/office/drawing/2014/main" id="{C1D3BB10-C573-43AC-B0C0-9D26302100F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122</xdr:row>
          <xdr:rowOff>0</xdr:rowOff>
        </xdr:from>
        <xdr:to>
          <xdr:col>2</xdr:col>
          <xdr:colOff>152400</xdr:colOff>
          <xdr:row>123</xdr:row>
          <xdr:rowOff>30480</xdr:rowOff>
        </xdr:to>
        <xdr:sp macro="" textlink="">
          <xdr:nvSpPr>
            <xdr:cNvPr id="17475" name="Check Box 67" hidden="1">
              <a:extLst>
                <a:ext uri="{63B3BB69-23CF-44E3-9099-C40C66FF867C}">
                  <a14:compatExt spid="_x0000_s17475"/>
                </a:ext>
                <a:ext uri="{FF2B5EF4-FFF2-40B4-BE49-F238E27FC236}">
                  <a16:creationId xmlns:a16="http://schemas.microsoft.com/office/drawing/2014/main" id="{F0BC487E-86F2-4438-8EEE-2B823895D05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Level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990600</xdr:colOff>
          <xdr:row>122</xdr:row>
          <xdr:rowOff>22860</xdr:rowOff>
        </xdr:from>
        <xdr:to>
          <xdr:col>2</xdr:col>
          <xdr:colOff>1158240</xdr:colOff>
          <xdr:row>123</xdr:row>
          <xdr:rowOff>15240</xdr:rowOff>
        </xdr:to>
        <xdr:sp macro="" textlink="">
          <xdr:nvSpPr>
            <xdr:cNvPr id="17476" name="Check Box 68" hidden="1">
              <a:extLst>
                <a:ext uri="{63B3BB69-23CF-44E3-9099-C40C66FF867C}">
                  <a14:compatExt spid="_x0000_s17476"/>
                </a:ext>
                <a:ext uri="{FF2B5EF4-FFF2-40B4-BE49-F238E27FC236}">
                  <a16:creationId xmlns:a16="http://schemas.microsoft.com/office/drawing/2014/main" id="{BBFF5EB3-7E34-4DA7-AB8A-622D68BDE6B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Level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122</xdr:row>
          <xdr:rowOff>0</xdr:rowOff>
        </xdr:from>
        <xdr:to>
          <xdr:col>3</xdr:col>
          <xdr:colOff>944880</xdr:colOff>
          <xdr:row>123</xdr:row>
          <xdr:rowOff>30480</xdr:rowOff>
        </xdr:to>
        <xdr:sp macro="" textlink="">
          <xdr:nvSpPr>
            <xdr:cNvPr id="17477" name="Check Box 69" hidden="1">
              <a:extLst>
                <a:ext uri="{63B3BB69-23CF-44E3-9099-C40C66FF867C}">
                  <a14:compatExt spid="_x0000_s17477"/>
                </a:ext>
                <a:ext uri="{FF2B5EF4-FFF2-40B4-BE49-F238E27FC236}">
                  <a16:creationId xmlns:a16="http://schemas.microsoft.com/office/drawing/2014/main" id="{1BF4C7B6-12A3-4E4B-8B7F-B9A51BC375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Not Required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990600</xdr:colOff>
          <xdr:row>122</xdr:row>
          <xdr:rowOff>22860</xdr:rowOff>
        </xdr:from>
        <xdr:to>
          <xdr:col>4</xdr:col>
          <xdr:colOff>662940</xdr:colOff>
          <xdr:row>123</xdr:row>
          <xdr:rowOff>15240</xdr:rowOff>
        </xdr:to>
        <xdr:sp macro="" textlink="">
          <xdr:nvSpPr>
            <xdr:cNvPr id="17478" name="Check Box 70" hidden="1">
              <a:extLst>
                <a:ext uri="{63B3BB69-23CF-44E3-9099-C40C66FF867C}">
                  <a14:compatExt spid="_x0000_s17478"/>
                </a:ext>
                <a:ext uri="{FF2B5EF4-FFF2-40B4-BE49-F238E27FC236}">
                  <a16:creationId xmlns:a16="http://schemas.microsoft.com/office/drawing/2014/main" id="{F9BF3F4F-E097-4937-B35B-56C13DEE5D8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Required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122</xdr:row>
          <xdr:rowOff>0</xdr:rowOff>
        </xdr:from>
        <xdr:to>
          <xdr:col>5</xdr:col>
          <xdr:colOff>944880</xdr:colOff>
          <xdr:row>123</xdr:row>
          <xdr:rowOff>30480</xdr:rowOff>
        </xdr:to>
        <xdr:sp macro="" textlink="">
          <xdr:nvSpPr>
            <xdr:cNvPr id="17479" name="Check Box 71" hidden="1">
              <a:extLst>
                <a:ext uri="{63B3BB69-23CF-44E3-9099-C40C66FF867C}">
                  <a14:compatExt spid="_x0000_s17479"/>
                </a:ext>
                <a:ext uri="{FF2B5EF4-FFF2-40B4-BE49-F238E27FC236}">
                  <a16:creationId xmlns:a16="http://schemas.microsoft.com/office/drawing/2014/main" id="{BDD7E98D-3004-4C7E-826B-EF83BCE276B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Not Required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990600</xdr:colOff>
          <xdr:row>122</xdr:row>
          <xdr:rowOff>22860</xdr:rowOff>
        </xdr:from>
        <xdr:to>
          <xdr:col>6</xdr:col>
          <xdr:colOff>1074420</xdr:colOff>
          <xdr:row>123</xdr:row>
          <xdr:rowOff>15240</xdr:rowOff>
        </xdr:to>
        <xdr:sp macro="" textlink="">
          <xdr:nvSpPr>
            <xdr:cNvPr id="17480" name="Check Box 72" hidden="1">
              <a:extLst>
                <a:ext uri="{63B3BB69-23CF-44E3-9099-C40C66FF867C}">
                  <a14:compatExt spid="_x0000_s17480"/>
                </a:ext>
                <a:ext uri="{FF2B5EF4-FFF2-40B4-BE49-F238E27FC236}">
                  <a16:creationId xmlns:a16="http://schemas.microsoft.com/office/drawing/2014/main" id="{0D2A919B-182C-4C0B-B5E8-1C659E3E1E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Required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124</xdr:row>
          <xdr:rowOff>7620</xdr:rowOff>
        </xdr:from>
        <xdr:to>
          <xdr:col>2</xdr:col>
          <xdr:colOff>1196340</xdr:colOff>
          <xdr:row>125</xdr:row>
          <xdr:rowOff>38100</xdr:rowOff>
        </xdr:to>
        <xdr:sp macro="" textlink="">
          <xdr:nvSpPr>
            <xdr:cNvPr id="17481" name="Check Box 73" hidden="1">
              <a:extLst>
                <a:ext uri="{63B3BB69-23CF-44E3-9099-C40C66FF867C}">
                  <a14:compatExt spid="_x0000_s17481"/>
                </a:ext>
                <a:ext uri="{FF2B5EF4-FFF2-40B4-BE49-F238E27FC236}">
                  <a16:creationId xmlns:a16="http://schemas.microsoft.com/office/drawing/2014/main" id="{7C87F8E0-FCE7-4CBA-A0BE-D099C444EE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Water Source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124</xdr:row>
          <xdr:rowOff>0</xdr:rowOff>
        </xdr:from>
        <xdr:to>
          <xdr:col>6</xdr:col>
          <xdr:colOff>1463040</xdr:colOff>
          <xdr:row>125</xdr:row>
          <xdr:rowOff>38100</xdr:rowOff>
        </xdr:to>
        <xdr:sp macro="" textlink="">
          <xdr:nvSpPr>
            <xdr:cNvPr id="17482" name="Check Box 74" hidden="1">
              <a:extLst>
                <a:ext uri="{63B3BB69-23CF-44E3-9099-C40C66FF867C}">
                  <a14:compatExt spid="_x0000_s17482"/>
                </a:ext>
                <a:ext uri="{FF2B5EF4-FFF2-40B4-BE49-F238E27FC236}">
                  <a16:creationId xmlns:a16="http://schemas.microsoft.com/office/drawing/2014/main" id="{B66563D1-583C-4778-A7FE-C6E8B612313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Total Cementitous  QTY (HES/SHES)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124</xdr:row>
          <xdr:rowOff>182880</xdr:rowOff>
        </xdr:from>
        <xdr:to>
          <xdr:col>2</xdr:col>
          <xdr:colOff>1211580</xdr:colOff>
          <xdr:row>126</xdr:row>
          <xdr:rowOff>53340</xdr:rowOff>
        </xdr:to>
        <xdr:sp macro="" textlink="">
          <xdr:nvSpPr>
            <xdr:cNvPr id="17483" name="Check Box 75" hidden="1">
              <a:extLst>
                <a:ext uri="{63B3BB69-23CF-44E3-9099-C40C66FF867C}">
                  <a14:compatExt spid="_x0000_s17483"/>
                </a:ext>
                <a:ext uri="{FF2B5EF4-FFF2-40B4-BE49-F238E27FC236}">
                  <a16:creationId xmlns:a16="http://schemas.microsoft.com/office/drawing/2014/main" id="{7699CA30-5222-4258-9CFD-CD32708589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Add Color Pigment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125</xdr:row>
          <xdr:rowOff>0</xdr:rowOff>
        </xdr:from>
        <xdr:to>
          <xdr:col>6</xdr:col>
          <xdr:colOff>1463040</xdr:colOff>
          <xdr:row>126</xdr:row>
          <xdr:rowOff>38100</xdr:rowOff>
        </xdr:to>
        <xdr:sp macro="" textlink="">
          <xdr:nvSpPr>
            <xdr:cNvPr id="17484" name="Check Box 76" hidden="1">
              <a:extLst>
                <a:ext uri="{63B3BB69-23CF-44E3-9099-C40C66FF867C}">
                  <a14:compatExt spid="_x0000_s17484"/>
                </a:ext>
                <a:ext uri="{FF2B5EF4-FFF2-40B4-BE49-F238E27FC236}">
                  <a16:creationId xmlns:a16="http://schemas.microsoft.com/office/drawing/2014/main" id="{13B58900-9844-4B85-A11B-A09949F908E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SCM Replacement Rate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126</xdr:row>
          <xdr:rowOff>7620</xdr:rowOff>
        </xdr:from>
        <xdr:to>
          <xdr:col>2</xdr:col>
          <xdr:colOff>1196340</xdr:colOff>
          <xdr:row>127</xdr:row>
          <xdr:rowOff>38100</xdr:rowOff>
        </xdr:to>
        <xdr:sp macro="" textlink="">
          <xdr:nvSpPr>
            <xdr:cNvPr id="17485" name="Check Box 77" hidden="1">
              <a:extLst>
                <a:ext uri="{63B3BB69-23CF-44E3-9099-C40C66FF867C}">
                  <a14:compatExt spid="_x0000_s17485"/>
                </a:ext>
                <a:ext uri="{FF2B5EF4-FFF2-40B4-BE49-F238E27FC236}">
                  <a16:creationId xmlns:a16="http://schemas.microsoft.com/office/drawing/2014/main" id="{709B0D42-4461-4529-AC19-9961C6CA92D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Fly Ash Class C Source (Pavement/Barrier)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126</xdr:row>
          <xdr:rowOff>0</xdr:rowOff>
        </xdr:from>
        <xdr:to>
          <xdr:col>6</xdr:col>
          <xdr:colOff>1463040</xdr:colOff>
          <xdr:row>127</xdr:row>
          <xdr:rowOff>38100</xdr:rowOff>
        </xdr:to>
        <xdr:sp macro="" textlink="">
          <xdr:nvSpPr>
            <xdr:cNvPr id="17486" name="Check Box 78" hidden="1">
              <a:extLst>
                <a:ext uri="{63B3BB69-23CF-44E3-9099-C40C66FF867C}">
                  <a14:compatExt spid="_x0000_s17486"/>
                </a:ext>
                <a:ext uri="{FF2B5EF4-FFF2-40B4-BE49-F238E27FC236}">
                  <a16:creationId xmlns:a16="http://schemas.microsoft.com/office/drawing/2014/main" id="{192B19FC-EEAD-43B7-A5CD-28380F7B0BF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Fly Ash Class F Source (Pavement/Barrier)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127</xdr:row>
          <xdr:rowOff>7620</xdr:rowOff>
        </xdr:from>
        <xdr:to>
          <xdr:col>2</xdr:col>
          <xdr:colOff>1196340</xdr:colOff>
          <xdr:row>128</xdr:row>
          <xdr:rowOff>38100</xdr:rowOff>
        </xdr:to>
        <xdr:sp macro="" textlink="">
          <xdr:nvSpPr>
            <xdr:cNvPr id="17487" name="Check Box 79" hidden="1">
              <a:extLst>
                <a:ext uri="{63B3BB69-23CF-44E3-9099-C40C66FF867C}">
                  <a14:compatExt spid="_x0000_s17487"/>
                </a:ext>
                <a:ext uri="{FF2B5EF4-FFF2-40B4-BE49-F238E27FC236}">
                  <a16:creationId xmlns:a16="http://schemas.microsoft.com/office/drawing/2014/main" id="{6B50DFAC-5DD5-42C0-B02D-199DA36583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Slag Source (same grade)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127</xdr:row>
          <xdr:rowOff>0</xdr:rowOff>
        </xdr:from>
        <xdr:to>
          <xdr:col>6</xdr:col>
          <xdr:colOff>1463040</xdr:colOff>
          <xdr:row>128</xdr:row>
          <xdr:rowOff>38100</xdr:rowOff>
        </xdr:to>
        <xdr:sp macro="" textlink="">
          <xdr:nvSpPr>
            <xdr:cNvPr id="17488" name="Check Box 80" hidden="1">
              <a:extLst>
                <a:ext uri="{63B3BB69-23CF-44E3-9099-C40C66FF867C}">
                  <a14:compatExt spid="_x0000_s17488"/>
                </a:ext>
                <a:ext uri="{FF2B5EF4-FFF2-40B4-BE49-F238E27FC236}">
                  <a16:creationId xmlns:a16="http://schemas.microsoft.com/office/drawing/2014/main" id="{D418ACAB-3599-447B-8975-612B4C7657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Slag Source (different grade)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128</xdr:row>
          <xdr:rowOff>7620</xdr:rowOff>
        </xdr:from>
        <xdr:to>
          <xdr:col>2</xdr:col>
          <xdr:colOff>1196340</xdr:colOff>
          <xdr:row>129</xdr:row>
          <xdr:rowOff>38100</xdr:rowOff>
        </xdr:to>
        <xdr:sp macro="" textlink="">
          <xdr:nvSpPr>
            <xdr:cNvPr id="17489" name="Check Box 81" hidden="1">
              <a:extLst>
                <a:ext uri="{63B3BB69-23CF-44E3-9099-C40C66FF867C}">
                  <a14:compatExt spid="_x0000_s17489"/>
                </a:ext>
                <a:ext uri="{FF2B5EF4-FFF2-40B4-BE49-F238E27FC236}">
                  <a16:creationId xmlns:a16="http://schemas.microsoft.com/office/drawing/2014/main" id="{16D63101-0C95-4D68-9260-027DAC0861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Admix Dosage Rate (on APL)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128</xdr:row>
          <xdr:rowOff>0</xdr:rowOff>
        </xdr:from>
        <xdr:to>
          <xdr:col>6</xdr:col>
          <xdr:colOff>1463040</xdr:colOff>
          <xdr:row>129</xdr:row>
          <xdr:rowOff>38100</xdr:rowOff>
        </xdr:to>
        <xdr:sp macro="" textlink="">
          <xdr:nvSpPr>
            <xdr:cNvPr id="17490" name="Check Box 82" hidden="1">
              <a:extLst>
                <a:ext uri="{63B3BB69-23CF-44E3-9099-C40C66FF867C}">
                  <a14:compatExt spid="_x0000_s17490"/>
                </a:ext>
                <a:ext uri="{FF2B5EF4-FFF2-40B4-BE49-F238E27FC236}">
                  <a16:creationId xmlns:a16="http://schemas.microsoft.com/office/drawing/2014/main" id="{2C93CB06-A83A-4C26-B8A8-8DEF2B83FDE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Add Type B or D Admixture (not on APL)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129</xdr:row>
          <xdr:rowOff>7620</xdr:rowOff>
        </xdr:from>
        <xdr:to>
          <xdr:col>2</xdr:col>
          <xdr:colOff>1196340</xdr:colOff>
          <xdr:row>130</xdr:row>
          <xdr:rowOff>38100</xdr:rowOff>
        </xdr:to>
        <xdr:sp macro="" textlink="">
          <xdr:nvSpPr>
            <xdr:cNvPr id="17491" name="Check Box 83" hidden="1">
              <a:extLst>
                <a:ext uri="{63B3BB69-23CF-44E3-9099-C40C66FF867C}">
                  <a14:compatExt spid="_x0000_s17491"/>
                </a:ext>
                <a:ext uri="{FF2B5EF4-FFF2-40B4-BE49-F238E27FC236}">
                  <a16:creationId xmlns:a16="http://schemas.microsoft.com/office/drawing/2014/main" id="{41B48A06-FF16-461A-98BE-24FFA91B90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Add Type B or D Admixture (on APL)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129</xdr:row>
          <xdr:rowOff>0</xdr:rowOff>
        </xdr:from>
        <xdr:to>
          <xdr:col>6</xdr:col>
          <xdr:colOff>1463040</xdr:colOff>
          <xdr:row>130</xdr:row>
          <xdr:rowOff>38100</xdr:rowOff>
        </xdr:to>
        <xdr:sp macro="" textlink="">
          <xdr:nvSpPr>
            <xdr:cNvPr id="17492" name="Check Box 84" hidden="1">
              <a:extLst>
                <a:ext uri="{63B3BB69-23CF-44E3-9099-C40C66FF867C}">
                  <a14:compatExt spid="_x0000_s17492"/>
                </a:ext>
                <a:ext uri="{FF2B5EF4-FFF2-40B4-BE49-F238E27FC236}">
                  <a16:creationId xmlns:a16="http://schemas.microsoft.com/office/drawing/2014/main" id="{7113406A-C3F6-4110-B684-16EE9980F6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Remove Type B or D Admixture (not on APL)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130</xdr:row>
          <xdr:rowOff>7620</xdr:rowOff>
        </xdr:from>
        <xdr:to>
          <xdr:col>2</xdr:col>
          <xdr:colOff>1196340</xdr:colOff>
          <xdr:row>131</xdr:row>
          <xdr:rowOff>38100</xdr:rowOff>
        </xdr:to>
        <xdr:sp macro="" textlink="">
          <xdr:nvSpPr>
            <xdr:cNvPr id="17493" name="Check Box 85" hidden="1">
              <a:extLst>
                <a:ext uri="{63B3BB69-23CF-44E3-9099-C40C66FF867C}">
                  <a14:compatExt spid="_x0000_s17493"/>
                </a:ext>
                <a:ext uri="{FF2B5EF4-FFF2-40B4-BE49-F238E27FC236}">
                  <a16:creationId xmlns:a16="http://schemas.microsoft.com/office/drawing/2014/main" id="{F7E0C276-E4D7-437C-BD52-1ACB3AEF8F3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Remove Type B or D Admixture (on APL)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131</xdr:row>
          <xdr:rowOff>7620</xdr:rowOff>
        </xdr:from>
        <xdr:to>
          <xdr:col>2</xdr:col>
          <xdr:colOff>1196340</xdr:colOff>
          <xdr:row>132</xdr:row>
          <xdr:rowOff>38100</xdr:rowOff>
        </xdr:to>
        <xdr:sp macro="" textlink="">
          <xdr:nvSpPr>
            <xdr:cNvPr id="17494" name="Check Box 86" hidden="1">
              <a:extLst>
                <a:ext uri="{63B3BB69-23CF-44E3-9099-C40C66FF867C}">
                  <a14:compatExt spid="_x0000_s17494"/>
                </a:ext>
                <a:ext uri="{FF2B5EF4-FFF2-40B4-BE49-F238E27FC236}">
                  <a16:creationId xmlns:a16="http://schemas.microsoft.com/office/drawing/2014/main" id="{3EBD3D2B-0417-4C7E-8DFA-0F9CF7A4FBB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Aggregate Blend / Agg Quality Update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122</xdr:row>
          <xdr:rowOff>0</xdr:rowOff>
        </xdr:from>
        <xdr:to>
          <xdr:col>7</xdr:col>
          <xdr:colOff>944880</xdr:colOff>
          <xdr:row>123</xdr:row>
          <xdr:rowOff>30480</xdr:rowOff>
        </xdr:to>
        <xdr:sp macro="" textlink="">
          <xdr:nvSpPr>
            <xdr:cNvPr id="17495" name="Check Box 87" hidden="1">
              <a:extLst>
                <a:ext uri="{63B3BB69-23CF-44E3-9099-C40C66FF867C}">
                  <a14:compatExt spid="_x0000_s17495"/>
                </a:ext>
                <a:ext uri="{FF2B5EF4-FFF2-40B4-BE49-F238E27FC236}">
                  <a16:creationId xmlns:a16="http://schemas.microsoft.com/office/drawing/2014/main" id="{00851CF9-5F86-4001-8ABB-4837C9F94AC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Yes (New 132)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990600</xdr:colOff>
          <xdr:row>122</xdr:row>
          <xdr:rowOff>22860</xdr:rowOff>
        </xdr:from>
        <xdr:to>
          <xdr:col>8</xdr:col>
          <xdr:colOff>1082040</xdr:colOff>
          <xdr:row>123</xdr:row>
          <xdr:rowOff>30480</xdr:rowOff>
        </xdr:to>
        <xdr:sp macro="" textlink="">
          <xdr:nvSpPr>
            <xdr:cNvPr id="17496" name="Check Box 88" hidden="1">
              <a:extLst>
                <a:ext uri="{63B3BB69-23CF-44E3-9099-C40C66FF867C}">
                  <a14:compatExt spid="_x0000_s17496"/>
                </a:ext>
                <a:ext uri="{FF2B5EF4-FFF2-40B4-BE49-F238E27FC236}">
                  <a16:creationId xmlns:a16="http://schemas.microsoft.com/office/drawing/2014/main" id="{E3225F45-D3CE-4B37-932C-465DC9C5B9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159</xdr:row>
          <xdr:rowOff>0</xdr:rowOff>
        </xdr:from>
        <xdr:to>
          <xdr:col>2</xdr:col>
          <xdr:colOff>152400</xdr:colOff>
          <xdr:row>160</xdr:row>
          <xdr:rowOff>30480</xdr:rowOff>
        </xdr:to>
        <xdr:sp macro="" textlink="">
          <xdr:nvSpPr>
            <xdr:cNvPr id="17497" name="Check Box 89" hidden="1">
              <a:extLst>
                <a:ext uri="{63B3BB69-23CF-44E3-9099-C40C66FF867C}">
                  <a14:compatExt spid="_x0000_s17497"/>
                </a:ext>
                <a:ext uri="{FF2B5EF4-FFF2-40B4-BE49-F238E27FC236}">
                  <a16:creationId xmlns:a16="http://schemas.microsoft.com/office/drawing/2014/main" id="{E846C240-DFE1-4601-A67A-4FCD02F9E49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Level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990600</xdr:colOff>
          <xdr:row>159</xdr:row>
          <xdr:rowOff>22860</xdr:rowOff>
        </xdr:from>
        <xdr:to>
          <xdr:col>2</xdr:col>
          <xdr:colOff>1158240</xdr:colOff>
          <xdr:row>160</xdr:row>
          <xdr:rowOff>15240</xdr:rowOff>
        </xdr:to>
        <xdr:sp macro="" textlink="">
          <xdr:nvSpPr>
            <xdr:cNvPr id="17498" name="Check Box 90" hidden="1">
              <a:extLst>
                <a:ext uri="{63B3BB69-23CF-44E3-9099-C40C66FF867C}">
                  <a14:compatExt spid="_x0000_s17498"/>
                </a:ext>
                <a:ext uri="{FF2B5EF4-FFF2-40B4-BE49-F238E27FC236}">
                  <a16:creationId xmlns:a16="http://schemas.microsoft.com/office/drawing/2014/main" id="{79CD510D-C61C-4F51-AD1D-6C2C3C180BB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Level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159</xdr:row>
          <xdr:rowOff>0</xdr:rowOff>
        </xdr:from>
        <xdr:to>
          <xdr:col>3</xdr:col>
          <xdr:colOff>944880</xdr:colOff>
          <xdr:row>160</xdr:row>
          <xdr:rowOff>30480</xdr:rowOff>
        </xdr:to>
        <xdr:sp macro="" textlink="">
          <xdr:nvSpPr>
            <xdr:cNvPr id="17499" name="Check Box 91" hidden="1">
              <a:extLst>
                <a:ext uri="{63B3BB69-23CF-44E3-9099-C40C66FF867C}">
                  <a14:compatExt spid="_x0000_s17499"/>
                </a:ext>
                <a:ext uri="{FF2B5EF4-FFF2-40B4-BE49-F238E27FC236}">
                  <a16:creationId xmlns:a16="http://schemas.microsoft.com/office/drawing/2014/main" id="{3A753220-1564-48FD-95DE-79CB8DA428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Not Required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990600</xdr:colOff>
          <xdr:row>159</xdr:row>
          <xdr:rowOff>22860</xdr:rowOff>
        </xdr:from>
        <xdr:to>
          <xdr:col>4</xdr:col>
          <xdr:colOff>662940</xdr:colOff>
          <xdr:row>160</xdr:row>
          <xdr:rowOff>15240</xdr:rowOff>
        </xdr:to>
        <xdr:sp macro="" textlink="">
          <xdr:nvSpPr>
            <xdr:cNvPr id="17500" name="Check Box 92" hidden="1">
              <a:extLst>
                <a:ext uri="{63B3BB69-23CF-44E3-9099-C40C66FF867C}">
                  <a14:compatExt spid="_x0000_s17500"/>
                </a:ext>
                <a:ext uri="{FF2B5EF4-FFF2-40B4-BE49-F238E27FC236}">
                  <a16:creationId xmlns:a16="http://schemas.microsoft.com/office/drawing/2014/main" id="{92564BC8-732E-4500-B685-FCAD27E77A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Required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159</xdr:row>
          <xdr:rowOff>0</xdr:rowOff>
        </xdr:from>
        <xdr:to>
          <xdr:col>5</xdr:col>
          <xdr:colOff>944880</xdr:colOff>
          <xdr:row>160</xdr:row>
          <xdr:rowOff>30480</xdr:rowOff>
        </xdr:to>
        <xdr:sp macro="" textlink="">
          <xdr:nvSpPr>
            <xdr:cNvPr id="17501" name="Check Box 93" hidden="1">
              <a:extLst>
                <a:ext uri="{63B3BB69-23CF-44E3-9099-C40C66FF867C}">
                  <a14:compatExt spid="_x0000_s17501"/>
                </a:ext>
                <a:ext uri="{FF2B5EF4-FFF2-40B4-BE49-F238E27FC236}">
                  <a16:creationId xmlns:a16="http://schemas.microsoft.com/office/drawing/2014/main" id="{314D3C21-A033-44A1-AA0F-A89233F2A0D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Not Required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990600</xdr:colOff>
          <xdr:row>159</xdr:row>
          <xdr:rowOff>22860</xdr:rowOff>
        </xdr:from>
        <xdr:to>
          <xdr:col>6</xdr:col>
          <xdr:colOff>1074420</xdr:colOff>
          <xdr:row>160</xdr:row>
          <xdr:rowOff>15240</xdr:rowOff>
        </xdr:to>
        <xdr:sp macro="" textlink="">
          <xdr:nvSpPr>
            <xdr:cNvPr id="17502" name="Check Box 94" hidden="1">
              <a:extLst>
                <a:ext uri="{63B3BB69-23CF-44E3-9099-C40C66FF867C}">
                  <a14:compatExt spid="_x0000_s17502"/>
                </a:ext>
                <a:ext uri="{FF2B5EF4-FFF2-40B4-BE49-F238E27FC236}">
                  <a16:creationId xmlns:a16="http://schemas.microsoft.com/office/drawing/2014/main" id="{ECE7754C-E768-448E-8436-9B99D87B28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Required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161</xdr:row>
          <xdr:rowOff>7620</xdr:rowOff>
        </xdr:from>
        <xdr:to>
          <xdr:col>2</xdr:col>
          <xdr:colOff>1196340</xdr:colOff>
          <xdr:row>162</xdr:row>
          <xdr:rowOff>38100</xdr:rowOff>
        </xdr:to>
        <xdr:sp macro="" textlink="">
          <xdr:nvSpPr>
            <xdr:cNvPr id="17503" name="Check Box 95" hidden="1">
              <a:extLst>
                <a:ext uri="{63B3BB69-23CF-44E3-9099-C40C66FF867C}">
                  <a14:compatExt spid="_x0000_s17503"/>
                </a:ext>
                <a:ext uri="{FF2B5EF4-FFF2-40B4-BE49-F238E27FC236}">
                  <a16:creationId xmlns:a16="http://schemas.microsoft.com/office/drawing/2014/main" id="{202289BC-004D-4CAB-BA8E-9298C4E27CA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Water Source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161</xdr:row>
          <xdr:rowOff>0</xdr:rowOff>
        </xdr:from>
        <xdr:to>
          <xdr:col>6</xdr:col>
          <xdr:colOff>1463040</xdr:colOff>
          <xdr:row>162</xdr:row>
          <xdr:rowOff>38100</xdr:rowOff>
        </xdr:to>
        <xdr:sp macro="" textlink="">
          <xdr:nvSpPr>
            <xdr:cNvPr id="17504" name="Check Box 96" hidden="1">
              <a:extLst>
                <a:ext uri="{63B3BB69-23CF-44E3-9099-C40C66FF867C}">
                  <a14:compatExt spid="_x0000_s17504"/>
                </a:ext>
                <a:ext uri="{FF2B5EF4-FFF2-40B4-BE49-F238E27FC236}">
                  <a16:creationId xmlns:a16="http://schemas.microsoft.com/office/drawing/2014/main" id="{31E9B7FF-EED9-4476-ADA4-22CF9EB813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Total Cementitous  QTY (HES/SHES)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161</xdr:row>
          <xdr:rowOff>182880</xdr:rowOff>
        </xdr:from>
        <xdr:to>
          <xdr:col>2</xdr:col>
          <xdr:colOff>1211580</xdr:colOff>
          <xdr:row>163</xdr:row>
          <xdr:rowOff>53340</xdr:rowOff>
        </xdr:to>
        <xdr:sp macro="" textlink="">
          <xdr:nvSpPr>
            <xdr:cNvPr id="17505" name="Check Box 97" hidden="1">
              <a:extLst>
                <a:ext uri="{63B3BB69-23CF-44E3-9099-C40C66FF867C}">
                  <a14:compatExt spid="_x0000_s17505"/>
                </a:ext>
                <a:ext uri="{FF2B5EF4-FFF2-40B4-BE49-F238E27FC236}">
                  <a16:creationId xmlns:a16="http://schemas.microsoft.com/office/drawing/2014/main" id="{C41F1D0F-B203-4E62-BCE7-E8560811EF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Add Color Pigment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162</xdr:row>
          <xdr:rowOff>0</xdr:rowOff>
        </xdr:from>
        <xdr:to>
          <xdr:col>6</xdr:col>
          <xdr:colOff>1463040</xdr:colOff>
          <xdr:row>163</xdr:row>
          <xdr:rowOff>38100</xdr:rowOff>
        </xdr:to>
        <xdr:sp macro="" textlink="">
          <xdr:nvSpPr>
            <xdr:cNvPr id="17506" name="Check Box 98" hidden="1">
              <a:extLst>
                <a:ext uri="{63B3BB69-23CF-44E3-9099-C40C66FF867C}">
                  <a14:compatExt spid="_x0000_s17506"/>
                </a:ext>
                <a:ext uri="{FF2B5EF4-FFF2-40B4-BE49-F238E27FC236}">
                  <a16:creationId xmlns:a16="http://schemas.microsoft.com/office/drawing/2014/main" id="{10E5B477-2C99-4EAB-98FE-654F32088CB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SCM Replacement Rate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163</xdr:row>
          <xdr:rowOff>7620</xdr:rowOff>
        </xdr:from>
        <xdr:to>
          <xdr:col>2</xdr:col>
          <xdr:colOff>1196340</xdr:colOff>
          <xdr:row>164</xdr:row>
          <xdr:rowOff>38100</xdr:rowOff>
        </xdr:to>
        <xdr:sp macro="" textlink="">
          <xdr:nvSpPr>
            <xdr:cNvPr id="17507" name="Check Box 99" hidden="1">
              <a:extLst>
                <a:ext uri="{63B3BB69-23CF-44E3-9099-C40C66FF867C}">
                  <a14:compatExt spid="_x0000_s17507"/>
                </a:ext>
                <a:ext uri="{FF2B5EF4-FFF2-40B4-BE49-F238E27FC236}">
                  <a16:creationId xmlns:a16="http://schemas.microsoft.com/office/drawing/2014/main" id="{452713D4-B29E-43C6-8487-68F4521BDCD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Fly Ash Class C Source (Pavement/Barrier)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163</xdr:row>
          <xdr:rowOff>0</xdr:rowOff>
        </xdr:from>
        <xdr:to>
          <xdr:col>6</xdr:col>
          <xdr:colOff>1463040</xdr:colOff>
          <xdr:row>164</xdr:row>
          <xdr:rowOff>38100</xdr:rowOff>
        </xdr:to>
        <xdr:sp macro="" textlink="">
          <xdr:nvSpPr>
            <xdr:cNvPr id="17508" name="Check Box 100" hidden="1">
              <a:extLst>
                <a:ext uri="{63B3BB69-23CF-44E3-9099-C40C66FF867C}">
                  <a14:compatExt spid="_x0000_s17508"/>
                </a:ext>
                <a:ext uri="{FF2B5EF4-FFF2-40B4-BE49-F238E27FC236}">
                  <a16:creationId xmlns:a16="http://schemas.microsoft.com/office/drawing/2014/main" id="{8E15B53D-057A-4BE5-8B09-9708B33B37B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Fly Ash Class F Source (Pavement/Barrier)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164</xdr:row>
          <xdr:rowOff>7620</xdr:rowOff>
        </xdr:from>
        <xdr:to>
          <xdr:col>2</xdr:col>
          <xdr:colOff>1196340</xdr:colOff>
          <xdr:row>165</xdr:row>
          <xdr:rowOff>38100</xdr:rowOff>
        </xdr:to>
        <xdr:sp macro="" textlink="">
          <xdr:nvSpPr>
            <xdr:cNvPr id="17509" name="Check Box 101" hidden="1">
              <a:extLst>
                <a:ext uri="{63B3BB69-23CF-44E3-9099-C40C66FF867C}">
                  <a14:compatExt spid="_x0000_s17509"/>
                </a:ext>
                <a:ext uri="{FF2B5EF4-FFF2-40B4-BE49-F238E27FC236}">
                  <a16:creationId xmlns:a16="http://schemas.microsoft.com/office/drawing/2014/main" id="{F898AF6E-257A-471A-92CF-525BDC234D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Slag Source (same grade)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164</xdr:row>
          <xdr:rowOff>0</xdr:rowOff>
        </xdr:from>
        <xdr:to>
          <xdr:col>6</xdr:col>
          <xdr:colOff>1463040</xdr:colOff>
          <xdr:row>165</xdr:row>
          <xdr:rowOff>38100</xdr:rowOff>
        </xdr:to>
        <xdr:sp macro="" textlink="">
          <xdr:nvSpPr>
            <xdr:cNvPr id="17510" name="Check Box 102" hidden="1">
              <a:extLst>
                <a:ext uri="{63B3BB69-23CF-44E3-9099-C40C66FF867C}">
                  <a14:compatExt spid="_x0000_s17510"/>
                </a:ext>
                <a:ext uri="{FF2B5EF4-FFF2-40B4-BE49-F238E27FC236}">
                  <a16:creationId xmlns:a16="http://schemas.microsoft.com/office/drawing/2014/main" id="{4CEF4351-141E-49D8-9F67-368EA032CE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Slag Source (different grade)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165</xdr:row>
          <xdr:rowOff>7620</xdr:rowOff>
        </xdr:from>
        <xdr:to>
          <xdr:col>2</xdr:col>
          <xdr:colOff>1196340</xdr:colOff>
          <xdr:row>166</xdr:row>
          <xdr:rowOff>38100</xdr:rowOff>
        </xdr:to>
        <xdr:sp macro="" textlink="">
          <xdr:nvSpPr>
            <xdr:cNvPr id="17511" name="Check Box 103" hidden="1">
              <a:extLst>
                <a:ext uri="{63B3BB69-23CF-44E3-9099-C40C66FF867C}">
                  <a14:compatExt spid="_x0000_s17511"/>
                </a:ext>
                <a:ext uri="{FF2B5EF4-FFF2-40B4-BE49-F238E27FC236}">
                  <a16:creationId xmlns:a16="http://schemas.microsoft.com/office/drawing/2014/main" id="{7125FF65-45D6-435B-B1D5-4E88B2294D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Admix Dosage Rate (on APL)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165</xdr:row>
          <xdr:rowOff>0</xdr:rowOff>
        </xdr:from>
        <xdr:to>
          <xdr:col>6</xdr:col>
          <xdr:colOff>1463040</xdr:colOff>
          <xdr:row>166</xdr:row>
          <xdr:rowOff>38100</xdr:rowOff>
        </xdr:to>
        <xdr:sp macro="" textlink="">
          <xdr:nvSpPr>
            <xdr:cNvPr id="17512" name="Check Box 104" hidden="1">
              <a:extLst>
                <a:ext uri="{63B3BB69-23CF-44E3-9099-C40C66FF867C}">
                  <a14:compatExt spid="_x0000_s17512"/>
                </a:ext>
                <a:ext uri="{FF2B5EF4-FFF2-40B4-BE49-F238E27FC236}">
                  <a16:creationId xmlns:a16="http://schemas.microsoft.com/office/drawing/2014/main" id="{DEA95F81-34E5-410D-833D-FFBF92C207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Add Type B or D Admixture (not on APL)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166</xdr:row>
          <xdr:rowOff>7620</xdr:rowOff>
        </xdr:from>
        <xdr:to>
          <xdr:col>2</xdr:col>
          <xdr:colOff>1196340</xdr:colOff>
          <xdr:row>167</xdr:row>
          <xdr:rowOff>38100</xdr:rowOff>
        </xdr:to>
        <xdr:sp macro="" textlink="">
          <xdr:nvSpPr>
            <xdr:cNvPr id="17513" name="Check Box 105" hidden="1">
              <a:extLst>
                <a:ext uri="{63B3BB69-23CF-44E3-9099-C40C66FF867C}">
                  <a14:compatExt spid="_x0000_s17513"/>
                </a:ext>
                <a:ext uri="{FF2B5EF4-FFF2-40B4-BE49-F238E27FC236}">
                  <a16:creationId xmlns:a16="http://schemas.microsoft.com/office/drawing/2014/main" id="{BDDC7D71-2CB8-47B5-9087-1E71AAEE49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Add Type B or D Admixture (on APL)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166</xdr:row>
          <xdr:rowOff>0</xdr:rowOff>
        </xdr:from>
        <xdr:to>
          <xdr:col>6</xdr:col>
          <xdr:colOff>1463040</xdr:colOff>
          <xdr:row>167</xdr:row>
          <xdr:rowOff>38100</xdr:rowOff>
        </xdr:to>
        <xdr:sp macro="" textlink="">
          <xdr:nvSpPr>
            <xdr:cNvPr id="17514" name="Check Box 106" hidden="1">
              <a:extLst>
                <a:ext uri="{63B3BB69-23CF-44E3-9099-C40C66FF867C}">
                  <a14:compatExt spid="_x0000_s17514"/>
                </a:ext>
                <a:ext uri="{FF2B5EF4-FFF2-40B4-BE49-F238E27FC236}">
                  <a16:creationId xmlns:a16="http://schemas.microsoft.com/office/drawing/2014/main" id="{1F01B062-2FDC-40BC-8F6F-EDFFD9D03EC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Remove Type B or D Admixture (not on APL)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167</xdr:row>
          <xdr:rowOff>7620</xdr:rowOff>
        </xdr:from>
        <xdr:to>
          <xdr:col>2</xdr:col>
          <xdr:colOff>1196340</xdr:colOff>
          <xdr:row>168</xdr:row>
          <xdr:rowOff>38100</xdr:rowOff>
        </xdr:to>
        <xdr:sp macro="" textlink="">
          <xdr:nvSpPr>
            <xdr:cNvPr id="17515" name="Check Box 107" hidden="1">
              <a:extLst>
                <a:ext uri="{63B3BB69-23CF-44E3-9099-C40C66FF867C}">
                  <a14:compatExt spid="_x0000_s17515"/>
                </a:ext>
                <a:ext uri="{FF2B5EF4-FFF2-40B4-BE49-F238E27FC236}">
                  <a16:creationId xmlns:a16="http://schemas.microsoft.com/office/drawing/2014/main" id="{563AAF7F-68C6-4C61-BBE4-E79283A61B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Remove Type B or D Admixture (on APL)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168</xdr:row>
          <xdr:rowOff>7620</xdr:rowOff>
        </xdr:from>
        <xdr:to>
          <xdr:col>2</xdr:col>
          <xdr:colOff>1196340</xdr:colOff>
          <xdr:row>169</xdr:row>
          <xdr:rowOff>38100</xdr:rowOff>
        </xdr:to>
        <xdr:sp macro="" textlink="">
          <xdr:nvSpPr>
            <xdr:cNvPr id="17516" name="Check Box 108" hidden="1">
              <a:extLst>
                <a:ext uri="{63B3BB69-23CF-44E3-9099-C40C66FF867C}">
                  <a14:compatExt spid="_x0000_s17516"/>
                </a:ext>
                <a:ext uri="{FF2B5EF4-FFF2-40B4-BE49-F238E27FC236}">
                  <a16:creationId xmlns:a16="http://schemas.microsoft.com/office/drawing/2014/main" id="{2D902108-C9D2-4D2E-BC49-B8D9077766C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Aggregate Blend / Agg Quality Update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159</xdr:row>
          <xdr:rowOff>0</xdr:rowOff>
        </xdr:from>
        <xdr:to>
          <xdr:col>7</xdr:col>
          <xdr:colOff>944880</xdr:colOff>
          <xdr:row>160</xdr:row>
          <xdr:rowOff>30480</xdr:rowOff>
        </xdr:to>
        <xdr:sp macro="" textlink="">
          <xdr:nvSpPr>
            <xdr:cNvPr id="17517" name="Check Box 109" hidden="1">
              <a:extLst>
                <a:ext uri="{63B3BB69-23CF-44E3-9099-C40C66FF867C}">
                  <a14:compatExt spid="_x0000_s17517"/>
                </a:ext>
                <a:ext uri="{FF2B5EF4-FFF2-40B4-BE49-F238E27FC236}">
                  <a16:creationId xmlns:a16="http://schemas.microsoft.com/office/drawing/2014/main" id="{F735E0FF-9FCA-44A0-B1B6-D208CD253FF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Yes (New 132)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990600</xdr:colOff>
          <xdr:row>159</xdr:row>
          <xdr:rowOff>22860</xdr:rowOff>
        </xdr:from>
        <xdr:to>
          <xdr:col>8</xdr:col>
          <xdr:colOff>1082040</xdr:colOff>
          <xdr:row>160</xdr:row>
          <xdr:rowOff>30480</xdr:rowOff>
        </xdr:to>
        <xdr:sp macro="" textlink="">
          <xdr:nvSpPr>
            <xdr:cNvPr id="17518" name="Check Box 110" hidden="1">
              <a:extLst>
                <a:ext uri="{63B3BB69-23CF-44E3-9099-C40C66FF867C}">
                  <a14:compatExt spid="_x0000_s17518"/>
                </a:ext>
                <a:ext uri="{FF2B5EF4-FFF2-40B4-BE49-F238E27FC236}">
                  <a16:creationId xmlns:a16="http://schemas.microsoft.com/office/drawing/2014/main" id="{058E3FFC-4E32-4B98-A1E0-3C4B7560B3C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editAs="oneCell">
    <xdr:from>
      <xdr:col>9</xdr:col>
      <xdr:colOff>184148</xdr:colOff>
      <xdr:row>0</xdr:row>
      <xdr:rowOff>171450</xdr:rowOff>
    </xdr:from>
    <xdr:to>
      <xdr:col>10</xdr:col>
      <xdr:colOff>740408</xdr:colOff>
      <xdr:row>8</xdr:row>
      <xdr:rowOff>57150</xdr:rowOff>
    </xdr:to>
    <xdr:pic>
      <xdr:nvPicPr>
        <xdr:cNvPr id="4" name="Picture 3" descr="Picture of WisDOT Logo">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1" cstate="print"/>
        <a:srcRect/>
        <a:stretch>
          <a:fillRect/>
        </a:stretch>
      </xdr:blipFill>
      <xdr:spPr bwMode="auto">
        <a:xfrm>
          <a:off x="9966323" y="171450"/>
          <a:ext cx="1463040" cy="1463040"/>
        </a:xfrm>
        <a:prstGeom prst="ellipse">
          <a:avLst/>
        </a:prstGeom>
        <a:ln>
          <a:noFill/>
        </a:ln>
        <a:effectLst/>
      </xdr:spPr>
    </xdr:pic>
    <xdr:clientData/>
  </xdr:twoCellAnchor>
  <xdr:twoCellAnchor>
    <xdr:from>
      <xdr:col>6</xdr:col>
      <xdr:colOff>0</xdr:colOff>
      <xdr:row>20</xdr:row>
      <xdr:rowOff>0</xdr:rowOff>
    </xdr:from>
    <xdr:to>
      <xdr:col>11</xdr:col>
      <xdr:colOff>773430</xdr:colOff>
      <xdr:row>38</xdr:row>
      <xdr:rowOff>250031</xdr:rowOff>
    </xdr:to>
    <xdr:graphicFrame macro="">
      <xdr:nvGraphicFramePr>
        <xdr:cNvPr id="3" name="Chart 2" descr="Aggregate Gradation Individual Percent Passing">
          <a:extLst>
            <a:ext uri="{FF2B5EF4-FFF2-40B4-BE49-F238E27FC236}">
              <a16:creationId xmlns:a16="http://schemas.microsoft.com/office/drawing/2014/main" id="{00000000-0008-0000-0300-000003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10870</xdr:colOff>
      <xdr:row>9</xdr:row>
      <xdr:rowOff>170974</xdr:rowOff>
    </xdr:from>
    <xdr:to>
      <xdr:col>8</xdr:col>
      <xdr:colOff>2298</xdr:colOff>
      <xdr:row>15</xdr:row>
      <xdr:rowOff>92869</xdr:rowOff>
    </xdr:to>
    <xdr:pic>
      <xdr:nvPicPr>
        <xdr:cNvPr id="3" name="Picture 2" descr="Picture of WisDOT Logo">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1" cstate="print"/>
        <a:srcRect/>
        <a:stretch>
          <a:fillRect/>
        </a:stretch>
      </xdr:blipFill>
      <xdr:spPr bwMode="auto">
        <a:xfrm>
          <a:off x="9402520" y="1980724"/>
          <a:ext cx="1463040" cy="1463040"/>
        </a:xfrm>
        <a:prstGeom prst="ellipse">
          <a:avLst/>
        </a:prstGeom>
        <a:ln>
          <a:noFill/>
        </a:ln>
        <a:effec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761243</xdr:colOff>
      <xdr:row>0</xdr:row>
      <xdr:rowOff>104775</xdr:rowOff>
    </xdr:from>
    <xdr:to>
      <xdr:col>10</xdr:col>
      <xdr:colOff>746003</xdr:colOff>
      <xdr:row>7</xdr:row>
      <xdr:rowOff>167640</xdr:rowOff>
    </xdr:to>
    <xdr:pic>
      <xdr:nvPicPr>
        <xdr:cNvPr id="7" name="Picture 6" descr="Picture of WisDOT Logo">
          <a:extLst>
            <a:ext uri="{FF2B5EF4-FFF2-40B4-BE49-F238E27FC236}">
              <a16:creationId xmlns:a16="http://schemas.microsoft.com/office/drawing/2014/main" id="{00000000-0008-0000-0500-000007000000}"/>
            </a:ext>
          </a:extLst>
        </xdr:cNvPr>
        <xdr:cNvPicPr/>
      </xdr:nvPicPr>
      <xdr:blipFill>
        <a:blip xmlns:r="http://schemas.openxmlformats.org/officeDocument/2006/relationships" r:embed="rId1" cstate="print"/>
        <a:srcRect/>
        <a:stretch>
          <a:fillRect/>
        </a:stretch>
      </xdr:blipFill>
      <xdr:spPr bwMode="auto">
        <a:xfrm>
          <a:off x="10467218" y="104775"/>
          <a:ext cx="1463040" cy="1463040"/>
        </a:xfrm>
        <a:prstGeom prst="ellipse">
          <a:avLst/>
        </a:prstGeom>
        <a:ln>
          <a:noFill/>
        </a:ln>
        <a:effectLst/>
      </xdr:spPr>
    </xdr:pic>
    <xdr:clientData/>
  </xdr:twoCellAnchor>
  <xdr:twoCellAnchor>
    <xdr:from>
      <xdr:col>9</xdr:col>
      <xdr:colOff>0</xdr:colOff>
      <xdr:row>10</xdr:row>
      <xdr:rowOff>0</xdr:rowOff>
    </xdr:from>
    <xdr:to>
      <xdr:col>16</xdr:col>
      <xdr:colOff>149774</xdr:colOff>
      <xdr:row>25</xdr:row>
      <xdr:rowOff>123825</xdr:rowOff>
    </xdr:to>
    <xdr:graphicFrame macro="">
      <xdr:nvGraphicFramePr>
        <xdr:cNvPr id="8" name="Chart 2" descr="Aggregate Gradation Percent Retained by Weight">
          <a:extLst>
            <a:ext uri="{FF2B5EF4-FFF2-40B4-BE49-F238E27FC236}">
              <a16:creationId xmlns:a16="http://schemas.microsoft.com/office/drawing/2014/main" id="{00000000-0008-0000-0500-000008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0</xdr:colOff>
      <xdr:row>27</xdr:row>
      <xdr:rowOff>0</xdr:rowOff>
    </xdr:from>
    <xdr:to>
      <xdr:col>9</xdr:col>
      <xdr:colOff>1139193</xdr:colOff>
      <xdr:row>46</xdr:row>
      <xdr:rowOff>1003</xdr:rowOff>
    </xdr:to>
    <xdr:graphicFrame macro="">
      <xdr:nvGraphicFramePr>
        <xdr:cNvPr id="11" name="Chart 10" descr="Taratula Curve Graph">
          <a:extLst>
            <a:ext uri="{FF2B5EF4-FFF2-40B4-BE49-F238E27FC236}">
              <a16:creationId xmlns:a16="http://schemas.microsoft.com/office/drawing/2014/main" id="{00000000-0008-0000-0500-00000B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editAs="oneCell">
    <xdr:from>
      <xdr:col>7</xdr:col>
      <xdr:colOff>376684</xdr:colOff>
      <xdr:row>11</xdr:row>
      <xdr:rowOff>4490</xdr:rowOff>
    </xdr:from>
    <xdr:to>
      <xdr:col>10</xdr:col>
      <xdr:colOff>170521</xdr:colOff>
      <xdr:row>18</xdr:row>
      <xdr:rowOff>19730</xdr:rowOff>
    </xdr:to>
    <xdr:pic>
      <xdr:nvPicPr>
        <xdr:cNvPr id="2" name="Picture 1" descr="Picture of WisDOT Logo">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1" cstate="print"/>
        <a:srcRect/>
        <a:stretch>
          <a:fillRect/>
        </a:stretch>
      </xdr:blipFill>
      <xdr:spPr bwMode="auto">
        <a:xfrm>
          <a:off x="4770884" y="2163490"/>
          <a:ext cx="1371600" cy="1371600"/>
        </a:xfrm>
        <a:prstGeom prst="ellipse">
          <a:avLst/>
        </a:prstGeom>
        <a:ln>
          <a:noFill/>
        </a:ln>
        <a:effec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Leslie%20Hidde\Downloads\DT2221%20Rev3.0_UNLOCKED_DRAFT%20CHANGES_Mix%20Mod.xlsx" TargetMode="External"/><Relationship Id="rId1" Type="http://schemas.openxmlformats.org/officeDocument/2006/relationships/externalLinkPath" Target="DT2221%20Rev3.0_UNLOCKED_DRAFT%20CHANGES_Mix%20Mo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irections"/>
      <sheetName val="Printing Directions"/>
      <sheetName val="1 Certification"/>
      <sheetName val="1A Modification"/>
      <sheetName val="2 Aggregate System"/>
      <sheetName val="3 Paste Quality"/>
      <sheetName val="4 Mix Design"/>
      <sheetName val="5 Unit Wt_Voids in Agg"/>
      <sheetName val="Optimize Tool"/>
      <sheetName val="Data_Charts"/>
      <sheetName val="6 Agg Analysis"/>
      <sheetName val="7 Calculation Check"/>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persons/person.xml><?xml version="1.0" encoding="utf-8"?>
<personList xmlns="http://schemas.microsoft.com/office/spreadsheetml/2018/threadedcomments" xmlns:x="http://schemas.openxmlformats.org/spreadsheetml/2006/main">
  <person displayName="Finnell, Mark W - DOT (DTSD Consultant)" id="{08C94483-FFC6-4409-86C8-5119D9DBC0FA}" userId="S::mark.finnell@dot.wi.gov::fc707ee4-04e6-424a-8fb6-f5ce4cfd5ed8"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I17" dT="2021-08-19T18:46:25.50" personId="{08C94483-FFC6-4409-86C8-5119D9DBC0FA}" id="{8DC8BEB8-DE99-4CE3-90ED-107E1FCC9DEB}">
    <text>P200 Requirement.</text>
  </threadedComment>
  <threadedComment ref="O17" dT="2021-08-19T18:46:25.50" personId="{08C94483-FFC6-4409-86C8-5119D9DBC0FA}" id="{B7743659-4CDC-4672-BE9C-CF320EC20EF0}">
    <text>P200 Requirement.</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0.xml"/><Relationship Id="rId1" Type="http://schemas.openxmlformats.org/officeDocument/2006/relationships/printerSettings" Target="../printerSettings/printerSettings9.bin"/><Relationship Id="rId4" Type="http://schemas.openxmlformats.org/officeDocument/2006/relationships/comments" Target="../comments7.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9.vml"/><Relationship Id="rId1" Type="http://schemas.openxmlformats.org/officeDocument/2006/relationships/printerSettings" Target="../printerSettings/printerSettings12.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3.vml"/><Relationship Id="rId7" Type="http://schemas.openxmlformats.org/officeDocument/2006/relationships/ctrlProp" Target="../ctrlProps/ctrlProp4.xml"/><Relationship Id="rId12" Type="http://schemas.openxmlformats.org/officeDocument/2006/relationships/comments" Target="../comments3.xml"/><Relationship Id="rId2" Type="http://schemas.openxmlformats.org/officeDocument/2006/relationships/drawing" Target="../drawings/drawing4.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5.xml.rels><?xml version="1.0" encoding="UTF-8" standalone="yes"?>
<Relationships xmlns="http://schemas.openxmlformats.org/package/2006/relationships"><Relationship Id="rId26" Type="http://schemas.openxmlformats.org/officeDocument/2006/relationships/ctrlProp" Target="../ctrlProps/ctrlProp31.xml"/><Relationship Id="rId21" Type="http://schemas.openxmlformats.org/officeDocument/2006/relationships/ctrlProp" Target="../ctrlProps/ctrlProp26.xml"/><Relationship Id="rId42" Type="http://schemas.openxmlformats.org/officeDocument/2006/relationships/ctrlProp" Target="../ctrlProps/ctrlProp47.xml"/><Relationship Id="rId47" Type="http://schemas.openxmlformats.org/officeDocument/2006/relationships/ctrlProp" Target="../ctrlProps/ctrlProp52.xml"/><Relationship Id="rId63" Type="http://schemas.openxmlformats.org/officeDocument/2006/relationships/ctrlProp" Target="../ctrlProps/ctrlProp68.xml"/><Relationship Id="rId68" Type="http://schemas.openxmlformats.org/officeDocument/2006/relationships/ctrlProp" Target="../ctrlProps/ctrlProp73.xml"/><Relationship Id="rId84" Type="http://schemas.openxmlformats.org/officeDocument/2006/relationships/ctrlProp" Target="../ctrlProps/ctrlProp89.xml"/><Relationship Id="rId89" Type="http://schemas.openxmlformats.org/officeDocument/2006/relationships/ctrlProp" Target="../ctrlProps/ctrlProp94.xml"/><Relationship Id="rId112" Type="http://schemas.openxmlformats.org/officeDocument/2006/relationships/ctrlProp" Target="../ctrlProps/ctrlProp117.xml"/><Relationship Id="rId16" Type="http://schemas.openxmlformats.org/officeDocument/2006/relationships/ctrlProp" Target="../ctrlProps/ctrlProp21.xml"/><Relationship Id="rId107" Type="http://schemas.openxmlformats.org/officeDocument/2006/relationships/ctrlProp" Target="../ctrlProps/ctrlProp112.xml"/><Relationship Id="rId11" Type="http://schemas.openxmlformats.org/officeDocument/2006/relationships/ctrlProp" Target="../ctrlProps/ctrlProp16.xml"/><Relationship Id="rId32" Type="http://schemas.openxmlformats.org/officeDocument/2006/relationships/ctrlProp" Target="../ctrlProps/ctrlProp37.xml"/><Relationship Id="rId37" Type="http://schemas.openxmlformats.org/officeDocument/2006/relationships/ctrlProp" Target="../ctrlProps/ctrlProp42.xml"/><Relationship Id="rId53" Type="http://schemas.openxmlformats.org/officeDocument/2006/relationships/ctrlProp" Target="../ctrlProps/ctrlProp58.xml"/><Relationship Id="rId58" Type="http://schemas.openxmlformats.org/officeDocument/2006/relationships/ctrlProp" Target="../ctrlProps/ctrlProp63.xml"/><Relationship Id="rId74" Type="http://schemas.openxmlformats.org/officeDocument/2006/relationships/ctrlProp" Target="../ctrlProps/ctrlProp79.xml"/><Relationship Id="rId79" Type="http://schemas.openxmlformats.org/officeDocument/2006/relationships/ctrlProp" Target="../ctrlProps/ctrlProp84.xml"/><Relationship Id="rId102" Type="http://schemas.openxmlformats.org/officeDocument/2006/relationships/ctrlProp" Target="../ctrlProps/ctrlProp107.xml"/><Relationship Id="rId5" Type="http://schemas.openxmlformats.org/officeDocument/2006/relationships/ctrlProp" Target="../ctrlProps/ctrlProp10.xml"/><Relationship Id="rId90" Type="http://schemas.openxmlformats.org/officeDocument/2006/relationships/ctrlProp" Target="../ctrlProps/ctrlProp95.xml"/><Relationship Id="rId95" Type="http://schemas.openxmlformats.org/officeDocument/2006/relationships/ctrlProp" Target="../ctrlProps/ctrlProp100.xml"/><Relationship Id="rId22" Type="http://schemas.openxmlformats.org/officeDocument/2006/relationships/ctrlProp" Target="../ctrlProps/ctrlProp27.xml"/><Relationship Id="rId27" Type="http://schemas.openxmlformats.org/officeDocument/2006/relationships/ctrlProp" Target="../ctrlProps/ctrlProp32.xml"/><Relationship Id="rId43" Type="http://schemas.openxmlformats.org/officeDocument/2006/relationships/ctrlProp" Target="../ctrlProps/ctrlProp48.xml"/><Relationship Id="rId48" Type="http://schemas.openxmlformats.org/officeDocument/2006/relationships/ctrlProp" Target="../ctrlProps/ctrlProp53.xml"/><Relationship Id="rId64" Type="http://schemas.openxmlformats.org/officeDocument/2006/relationships/ctrlProp" Target="../ctrlProps/ctrlProp69.xml"/><Relationship Id="rId69" Type="http://schemas.openxmlformats.org/officeDocument/2006/relationships/ctrlProp" Target="../ctrlProps/ctrlProp74.xml"/><Relationship Id="rId113" Type="http://schemas.openxmlformats.org/officeDocument/2006/relationships/ctrlProp" Target="../ctrlProps/ctrlProp118.xml"/><Relationship Id="rId80" Type="http://schemas.openxmlformats.org/officeDocument/2006/relationships/ctrlProp" Target="../ctrlProps/ctrlProp85.xml"/><Relationship Id="rId85" Type="http://schemas.openxmlformats.org/officeDocument/2006/relationships/ctrlProp" Target="../ctrlProps/ctrlProp90.xml"/><Relationship Id="rId12" Type="http://schemas.openxmlformats.org/officeDocument/2006/relationships/ctrlProp" Target="../ctrlProps/ctrlProp17.xml"/><Relationship Id="rId17" Type="http://schemas.openxmlformats.org/officeDocument/2006/relationships/ctrlProp" Target="../ctrlProps/ctrlProp22.xml"/><Relationship Id="rId33" Type="http://schemas.openxmlformats.org/officeDocument/2006/relationships/ctrlProp" Target="../ctrlProps/ctrlProp38.xml"/><Relationship Id="rId38" Type="http://schemas.openxmlformats.org/officeDocument/2006/relationships/ctrlProp" Target="../ctrlProps/ctrlProp43.xml"/><Relationship Id="rId59" Type="http://schemas.openxmlformats.org/officeDocument/2006/relationships/ctrlProp" Target="../ctrlProps/ctrlProp64.xml"/><Relationship Id="rId103" Type="http://schemas.openxmlformats.org/officeDocument/2006/relationships/ctrlProp" Target="../ctrlProps/ctrlProp108.xml"/><Relationship Id="rId108" Type="http://schemas.openxmlformats.org/officeDocument/2006/relationships/ctrlProp" Target="../ctrlProps/ctrlProp113.xml"/><Relationship Id="rId54" Type="http://schemas.openxmlformats.org/officeDocument/2006/relationships/ctrlProp" Target="../ctrlProps/ctrlProp59.xml"/><Relationship Id="rId70" Type="http://schemas.openxmlformats.org/officeDocument/2006/relationships/ctrlProp" Target="../ctrlProps/ctrlProp75.xml"/><Relationship Id="rId75" Type="http://schemas.openxmlformats.org/officeDocument/2006/relationships/ctrlProp" Target="../ctrlProps/ctrlProp80.xml"/><Relationship Id="rId91" Type="http://schemas.openxmlformats.org/officeDocument/2006/relationships/ctrlProp" Target="../ctrlProps/ctrlProp96.xml"/><Relationship Id="rId96" Type="http://schemas.openxmlformats.org/officeDocument/2006/relationships/ctrlProp" Target="../ctrlProps/ctrlProp101.xml"/><Relationship Id="rId1" Type="http://schemas.openxmlformats.org/officeDocument/2006/relationships/printerSettings" Target="../printerSettings/printerSettings4.bin"/><Relationship Id="rId6" Type="http://schemas.openxmlformats.org/officeDocument/2006/relationships/ctrlProp" Target="../ctrlProps/ctrlProp11.xml"/><Relationship Id="rId15" Type="http://schemas.openxmlformats.org/officeDocument/2006/relationships/ctrlProp" Target="../ctrlProps/ctrlProp20.xml"/><Relationship Id="rId23" Type="http://schemas.openxmlformats.org/officeDocument/2006/relationships/ctrlProp" Target="../ctrlProps/ctrlProp28.xml"/><Relationship Id="rId28" Type="http://schemas.openxmlformats.org/officeDocument/2006/relationships/ctrlProp" Target="../ctrlProps/ctrlProp33.xml"/><Relationship Id="rId36" Type="http://schemas.openxmlformats.org/officeDocument/2006/relationships/ctrlProp" Target="../ctrlProps/ctrlProp41.xml"/><Relationship Id="rId49" Type="http://schemas.openxmlformats.org/officeDocument/2006/relationships/ctrlProp" Target="../ctrlProps/ctrlProp54.xml"/><Relationship Id="rId57" Type="http://schemas.openxmlformats.org/officeDocument/2006/relationships/ctrlProp" Target="../ctrlProps/ctrlProp62.xml"/><Relationship Id="rId106" Type="http://schemas.openxmlformats.org/officeDocument/2006/relationships/ctrlProp" Target="../ctrlProps/ctrlProp111.xml"/><Relationship Id="rId10" Type="http://schemas.openxmlformats.org/officeDocument/2006/relationships/ctrlProp" Target="../ctrlProps/ctrlProp15.xml"/><Relationship Id="rId31" Type="http://schemas.openxmlformats.org/officeDocument/2006/relationships/ctrlProp" Target="../ctrlProps/ctrlProp36.xml"/><Relationship Id="rId44" Type="http://schemas.openxmlformats.org/officeDocument/2006/relationships/ctrlProp" Target="../ctrlProps/ctrlProp49.xml"/><Relationship Id="rId52" Type="http://schemas.openxmlformats.org/officeDocument/2006/relationships/ctrlProp" Target="../ctrlProps/ctrlProp57.xml"/><Relationship Id="rId60" Type="http://schemas.openxmlformats.org/officeDocument/2006/relationships/ctrlProp" Target="../ctrlProps/ctrlProp65.xml"/><Relationship Id="rId65" Type="http://schemas.openxmlformats.org/officeDocument/2006/relationships/ctrlProp" Target="../ctrlProps/ctrlProp70.xml"/><Relationship Id="rId73" Type="http://schemas.openxmlformats.org/officeDocument/2006/relationships/ctrlProp" Target="../ctrlProps/ctrlProp78.xml"/><Relationship Id="rId78" Type="http://schemas.openxmlformats.org/officeDocument/2006/relationships/ctrlProp" Target="../ctrlProps/ctrlProp83.xml"/><Relationship Id="rId81" Type="http://schemas.openxmlformats.org/officeDocument/2006/relationships/ctrlProp" Target="../ctrlProps/ctrlProp86.xml"/><Relationship Id="rId86" Type="http://schemas.openxmlformats.org/officeDocument/2006/relationships/ctrlProp" Target="../ctrlProps/ctrlProp91.xml"/><Relationship Id="rId94" Type="http://schemas.openxmlformats.org/officeDocument/2006/relationships/ctrlProp" Target="../ctrlProps/ctrlProp99.xml"/><Relationship Id="rId99" Type="http://schemas.openxmlformats.org/officeDocument/2006/relationships/ctrlProp" Target="../ctrlProps/ctrlProp104.xml"/><Relationship Id="rId101" Type="http://schemas.openxmlformats.org/officeDocument/2006/relationships/ctrlProp" Target="../ctrlProps/ctrlProp106.xml"/><Relationship Id="rId4" Type="http://schemas.openxmlformats.org/officeDocument/2006/relationships/ctrlProp" Target="../ctrlProps/ctrlProp9.xml"/><Relationship Id="rId9" Type="http://schemas.openxmlformats.org/officeDocument/2006/relationships/ctrlProp" Target="../ctrlProps/ctrlProp14.xml"/><Relationship Id="rId13" Type="http://schemas.openxmlformats.org/officeDocument/2006/relationships/ctrlProp" Target="../ctrlProps/ctrlProp18.xml"/><Relationship Id="rId18" Type="http://schemas.openxmlformats.org/officeDocument/2006/relationships/ctrlProp" Target="../ctrlProps/ctrlProp23.xml"/><Relationship Id="rId39" Type="http://schemas.openxmlformats.org/officeDocument/2006/relationships/ctrlProp" Target="../ctrlProps/ctrlProp44.xml"/><Relationship Id="rId109" Type="http://schemas.openxmlformats.org/officeDocument/2006/relationships/ctrlProp" Target="../ctrlProps/ctrlProp114.xml"/><Relationship Id="rId34" Type="http://schemas.openxmlformats.org/officeDocument/2006/relationships/ctrlProp" Target="../ctrlProps/ctrlProp39.xml"/><Relationship Id="rId50" Type="http://schemas.openxmlformats.org/officeDocument/2006/relationships/ctrlProp" Target="../ctrlProps/ctrlProp55.xml"/><Relationship Id="rId55" Type="http://schemas.openxmlformats.org/officeDocument/2006/relationships/ctrlProp" Target="../ctrlProps/ctrlProp60.xml"/><Relationship Id="rId76" Type="http://schemas.openxmlformats.org/officeDocument/2006/relationships/ctrlProp" Target="../ctrlProps/ctrlProp81.xml"/><Relationship Id="rId97" Type="http://schemas.openxmlformats.org/officeDocument/2006/relationships/ctrlProp" Target="../ctrlProps/ctrlProp102.xml"/><Relationship Id="rId104" Type="http://schemas.openxmlformats.org/officeDocument/2006/relationships/ctrlProp" Target="../ctrlProps/ctrlProp109.xml"/><Relationship Id="rId7" Type="http://schemas.openxmlformats.org/officeDocument/2006/relationships/ctrlProp" Target="../ctrlProps/ctrlProp12.xml"/><Relationship Id="rId71" Type="http://schemas.openxmlformats.org/officeDocument/2006/relationships/ctrlProp" Target="../ctrlProps/ctrlProp76.xml"/><Relationship Id="rId92" Type="http://schemas.openxmlformats.org/officeDocument/2006/relationships/ctrlProp" Target="../ctrlProps/ctrlProp97.xml"/><Relationship Id="rId2" Type="http://schemas.openxmlformats.org/officeDocument/2006/relationships/drawing" Target="../drawings/drawing5.xml"/><Relationship Id="rId29" Type="http://schemas.openxmlformats.org/officeDocument/2006/relationships/ctrlProp" Target="../ctrlProps/ctrlProp34.xml"/><Relationship Id="rId24" Type="http://schemas.openxmlformats.org/officeDocument/2006/relationships/ctrlProp" Target="../ctrlProps/ctrlProp29.xml"/><Relationship Id="rId40" Type="http://schemas.openxmlformats.org/officeDocument/2006/relationships/ctrlProp" Target="../ctrlProps/ctrlProp45.xml"/><Relationship Id="rId45" Type="http://schemas.openxmlformats.org/officeDocument/2006/relationships/ctrlProp" Target="../ctrlProps/ctrlProp50.xml"/><Relationship Id="rId66" Type="http://schemas.openxmlformats.org/officeDocument/2006/relationships/ctrlProp" Target="../ctrlProps/ctrlProp71.xml"/><Relationship Id="rId87" Type="http://schemas.openxmlformats.org/officeDocument/2006/relationships/ctrlProp" Target="../ctrlProps/ctrlProp92.xml"/><Relationship Id="rId110" Type="http://schemas.openxmlformats.org/officeDocument/2006/relationships/ctrlProp" Target="../ctrlProps/ctrlProp115.xml"/><Relationship Id="rId61" Type="http://schemas.openxmlformats.org/officeDocument/2006/relationships/ctrlProp" Target="../ctrlProps/ctrlProp66.xml"/><Relationship Id="rId82" Type="http://schemas.openxmlformats.org/officeDocument/2006/relationships/ctrlProp" Target="../ctrlProps/ctrlProp87.xml"/><Relationship Id="rId19" Type="http://schemas.openxmlformats.org/officeDocument/2006/relationships/ctrlProp" Target="../ctrlProps/ctrlProp24.xml"/><Relationship Id="rId14" Type="http://schemas.openxmlformats.org/officeDocument/2006/relationships/ctrlProp" Target="../ctrlProps/ctrlProp19.xml"/><Relationship Id="rId30" Type="http://schemas.openxmlformats.org/officeDocument/2006/relationships/ctrlProp" Target="../ctrlProps/ctrlProp35.xml"/><Relationship Id="rId35" Type="http://schemas.openxmlformats.org/officeDocument/2006/relationships/ctrlProp" Target="../ctrlProps/ctrlProp40.xml"/><Relationship Id="rId56" Type="http://schemas.openxmlformats.org/officeDocument/2006/relationships/ctrlProp" Target="../ctrlProps/ctrlProp61.xml"/><Relationship Id="rId77" Type="http://schemas.openxmlformats.org/officeDocument/2006/relationships/ctrlProp" Target="../ctrlProps/ctrlProp82.xml"/><Relationship Id="rId100" Type="http://schemas.openxmlformats.org/officeDocument/2006/relationships/ctrlProp" Target="../ctrlProps/ctrlProp105.xml"/><Relationship Id="rId105" Type="http://schemas.openxmlformats.org/officeDocument/2006/relationships/ctrlProp" Target="../ctrlProps/ctrlProp110.xml"/><Relationship Id="rId8" Type="http://schemas.openxmlformats.org/officeDocument/2006/relationships/ctrlProp" Target="../ctrlProps/ctrlProp13.xml"/><Relationship Id="rId51" Type="http://schemas.openxmlformats.org/officeDocument/2006/relationships/ctrlProp" Target="../ctrlProps/ctrlProp56.xml"/><Relationship Id="rId72" Type="http://schemas.openxmlformats.org/officeDocument/2006/relationships/ctrlProp" Target="../ctrlProps/ctrlProp77.xml"/><Relationship Id="rId93" Type="http://schemas.openxmlformats.org/officeDocument/2006/relationships/ctrlProp" Target="../ctrlProps/ctrlProp98.xml"/><Relationship Id="rId98" Type="http://schemas.openxmlformats.org/officeDocument/2006/relationships/ctrlProp" Target="../ctrlProps/ctrlProp103.xml"/><Relationship Id="rId3" Type="http://schemas.openxmlformats.org/officeDocument/2006/relationships/vmlDrawing" Target="../drawings/vmlDrawing4.vml"/><Relationship Id="rId25" Type="http://schemas.openxmlformats.org/officeDocument/2006/relationships/ctrlProp" Target="../ctrlProps/ctrlProp30.xml"/><Relationship Id="rId46" Type="http://schemas.openxmlformats.org/officeDocument/2006/relationships/ctrlProp" Target="../ctrlProps/ctrlProp51.xml"/><Relationship Id="rId67" Type="http://schemas.openxmlformats.org/officeDocument/2006/relationships/ctrlProp" Target="../ctrlProps/ctrlProp72.xml"/><Relationship Id="rId20" Type="http://schemas.openxmlformats.org/officeDocument/2006/relationships/ctrlProp" Target="../ctrlProps/ctrlProp25.xml"/><Relationship Id="rId41" Type="http://schemas.openxmlformats.org/officeDocument/2006/relationships/ctrlProp" Target="../ctrlProps/ctrlProp46.xml"/><Relationship Id="rId62" Type="http://schemas.openxmlformats.org/officeDocument/2006/relationships/ctrlProp" Target="../ctrlProps/ctrlProp67.xml"/><Relationship Id="rId83" Type="http://schemas.openxmlformats.org/officeDocument/2006/relationships/ctrlProp" Target="../ctrlProps/ctrlProp88.xml"/><Relationship Id="rId88" Type="http://schemas.openxmlformats.org/officeDocument/2006/relationships/ctrlProp" Target="../ctrlProps/ctrlProp93.xml"/><Relationship Id="rId111" Type="http://schemas.openxmlformats.org/officeDocument/2006/relationships/ctrlProp" Target="../ctrlProps/ctrlProp116.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8.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9.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9BA52F-C868-45A2-90B2-874037D47FAA}">
  <dimension ref="A1:Q138"/>
  <sheetViews>
    <sheetView showGridLines="0" zoomScaleNormal="100" zoomScaleSheetLayoutView="110" zoomScalePageLayoutView="90" workbookViewId="0">
      <selection activeCell="F97" sqref="F97"/>
    </sheetView>
  </sheetViews>
  <sheetFormatPr defaultColWidth="8.88671875" defaultRowHeight="14.4" x14ac:dyDescent="0.3"/>
  <cols>
    <col min="1" max="1" width="3.44140625" style="504" customWidth="1"/>
    <col min="2" max="11" width="8.88671875" style="504"/>
    <col min="12" max="12" width="13" style="504" customWidth="1"/>
    <col min="13" max="15" width="8.88671875" style="504"/>
    <col min="16" max="16" width="9.6640625" style="504" customWidth="1"/>
    <col min="17" max="26" width="8.88671875" style="504"/>
    <col min="27" max="27" width="5.6640625" style="504" customWidth="1"/>
    <col min="28" max="16384" width="8.88671875" style="504"/>
  </cols>
  <sheetData>
    <row r="1" spans="1:16" ht="16.2" thickBot="1" x14ac:dyDescent="0.35">
      <c r="A1" s="826" t="s">
        <v>364</v>
      </c>
      <c r="B1" s="827"/>
      <c r="C1" s="827"/>
      <c r="D1" s="827"/>
      <c r="E1" s="827"/>
      <c r="F1" s="827"/>
      <c r="G1" s="827"/>
      <c r="H1" s="827"/>
      <c r="I1" s="828" t="s">
        <v>365</v>
      </c>
      <c r="J1" s="828"/>
      <c r="K1" s="828"/>
      <c r="L1" s="829"/>
    </row>
    <row r="2" spans="1:16" ht="15" thickBot="1" x14ac:dyDescent="0.35">
      <c r="A2" s="830" t="s">
        <v>597</v>
      </c>
      <c r="B2" s="830"/>
      <c r="C2" s="830"/>
      <c r="D2" s="830"/>
      <c r="E2" s="830"/>
      <c r="F2" s="830"/>
      <c r="G2" s="830"/>
      <c r="H2" s="830"/>
      <c r="I2" s="830"/>
      <c r="J2" s="830"/>
      <c r="K2" s="830"/>
      <c r="L2" s="830"/>
    </row>
    <row r="3" spans="1:16" ht="15" thickBot="1" x14ac:dyDescent="0.35">
      <c r="A3" s="838" t="s">
        <v>3</v>
      </c>
      <c r="B3" s="839"/>
      <c r="C3" s="839"/>
      <c r="D3" s="839"/>
      <c r="E3" s="839"/>
      <c r="F3" s="839"/>
      <c r="G3" s="839"/>
      <c r="H3" s="839"/>
      <c r="I3" s="839"/>
      <c r="J3" s="839"/>
      <c r="K3" s="839"/>
      <c r="L3" s="840"/>
    </row>
    <row r="4" spans="1:16" x14ac:dyDescent="0.3">
      <c r="A4" s="505" t="s">
        <v>4</v>
      </c>
      <c r="B4" s="841" t="s">
        <v>5</v>
      </c>
      <c r="C4" s="841"/>
      <c r="D4" s="841"/>
      <c r="E4" s="841"/>
      <c r="F4" s="841"/>
      <c r="G4" s="841"/>
      <c r="H4" s="841"/>
      <c r="I4" s="841"/>
      <c r="J4" s="841"/>
      <c r="K4" s="841"/>
      <c r="L4" s="842"/>
    </row>
    <row r="5" spans="1:16" ht="28.2" customHeight="1" x14ac:dyDescent="0.3">
      <c r="A5" s="506" t="s">
        <v>6</v>
      </c>
      <c r="B5" s="843" t="s">
        <v>581</v>
      </c>
      <c r="C5" s="843"/>
      <c r="D5" s="843"/>
      <c r="E5" s="843"/>
      <c r="F5" s="843"/>
      <c r="G5" s="843"/>
      <c r="H5" s="843"/>
      <c r="I5" s="843"/>
      <c r="J5" s="843"/>
      <c r="K5" s="843"/>
      <c r="L5" s="844"/>
    </row>
    <row r="6" spans="1:16" x14ac:dyDescent="0.3">
      <c r="A6" s="507" t="s">
        <v>7</v>
      </c>
      <c r="B6" s="845" t="s">
        <v>8</v>
      </c>
      <c r="C6" s="845"/>
      <c r="D6" s="845"/>
      <c r="E6" s="845"/>
      <c r="F6" s="845"/>
      <c r="G6" s="845"/>
      <c r="H6" s="845"/>
      <c r="I6" s="845"/>
      <c r="J6" s="845"/>
      <c r="K6" s="845"/>
      <c r="L6" s="846"/>
    </row>
    <row r="7" spans="1:16" x14ac:dyDescent="0.3">
      <c r="A7" s="506" t="s">
        <v>9</v>
      </c>
      <c r="B7" s="847" t="s">
        <v>10</v>
      </c>
      <c r="C7" s="847"/>
      <c r="D7" s="847"/>
      <c r="E7" s="847"/>
      <c r="F7" s="847"/>
      <c r="G7" s="847"/>
      <c r="H7" s="847"/>
      <c r="I7" s="847"/>
      <c r="J7" s="847"/>
      <c r="K7" s="847"/>
      <c r="L7" s="848"/>
    </row>
    <row r="8" spans="1:16" ht="15" thickBot="1" x14ac:dyDescent="0.35">
      <c r="A8" s="508" t="s">
        <v>11</v>
      </c>
      <c r="B8" s="849" t="s">
        <v>12</v>
      </c>
      <c r="C8" s="849"/>
      <c r="D8" s="849"/>
      <c r="E8" s="849"/>
      <c r="F8" s="849"/>
      <c r="G8" s="849"/>
      <c r="H8" s="849"/>
      <c r="I8" s="849"/>
      <c r="J8" s="849"/>
      <c r="K8" s="849"/>
      <c r="L8" s="850"/>
      <c r="N8" s="805" t="s">
        <v>596</v>
      </c>
      <c r="O8" s="805"/>
    </row>
    <row r="9" spans="1:16" ht="15" customHeight="1" thickBot="1" x14ac:dyDescent="0.35">
      <c r="A9" s="510"/>
    </row>
    <row r="10" spans="1:16" ht="15" customHeight="1" thickBot="1" x14ac:dyDescent="0.35">
      <c r="A10" s="826" t="s">
        <v>161</v>
      </c>
      <c r="B10" s="827"/>
      <c r="C10" s="827"/>
      <c r="D10" s="827"/>
      <c r="E10" s="827"/>
      <c r="F10" s="827"/>
      <c r="G10" s="827"/>
      <c r="H10" s="827"/>
      <c r="I10" s="827"/>
      <c r="J10" s="827"/>
      <c r="K10" s="827"/>
      <c r="L10" s="827"/>
      <c r="M10" s="827"/>
      <c r="N10" s="827"/>
      <c r="O10" s="827"/>
      <c r="P10" s="834"/>
    </row>
    <row r="11" spans="1:16" ht="14.7" customHeight="1" x14ac:dyDescent="0.3">
      <c r="A11" s="511" t="s">
        <v>162</v>
      </c>
      <c r="B11" s="512"/>
      <c r="M11" s="574"/>
    </row>
    <row r="12" spans="1:16" s="787" customFormat="1" ht="14.7" customHeight="1" x14ac:dyDescent="0.3">
      <c r="A12" s="792"/>
      <c r="B12" s="787" t="s">
        <v>372</v>
      </c>
      <c r="M12" s="793"/>
    </row>
    <row r="13" spans="1:16" s="787" customFormat="1" ht="14.7" customHeight="1" x14ac:dyDescent="0.3">
      <c r="A13" s="792"/>
      <c r="B13" s="787" t="s">
        <v>599</v>
      </c>
      <c r="M13" s="793"/>
    </row>
    <row r="14" spans="1:16" s="787" customFormat="1" ht="14.7" customHeight="1" x14ac:dyDescent="0.3">
      <c r="A14" s="792"/>
      <c r="B14" s="787" t="s">
        <v>600</v>
      </c>
      <c r="M14" s="793"/>
    </row>
    <row r="15" spans="1:16" s="787" customFormat="1" ht="14.7" customHeight="1" x14ac:dyDescent="0.3">
      <c r="A15" s="792"/>
      <c r="B15" s="787" t="s">
        <v>500</v>
      </c>
      <c r="M15" s="793"/>
    </row>
    <row r="16" spans="1:16" s="787" customFormat="1" ht="14.7" customHeight="1" x14ac:dyDescent="0.3">
      <c r="A16" s="792"/>
      <c r="B16" s="787" t="s">
        <v>493</v>
      </c>
      <c r="C16" s="794"/>
      <c r="D16" s="794"/>
      <c r="E16" s="794"/>
      <c r="F16" s="794"/>
      <c r="G16" s="794"/>
      <c r="H16" s="794"/>
      <c r="I16" s="794"/>
      <c r="J16" s="794"/>
      <c r="M16" s="793"/>
    </row>
    <row r="17" spans="1:16" s="787" customFormat="1" ht="14.7" customHeight="1" x14ac:dyDescent="0.3">
      <c r="A17" s="792"/>
      <c r="B17" s="794" t="s">
        <v>571</v>
      </c>
      <c r="C17" s="794"/>
      <c r="D17" s="794"/>
      <c r="E17" s="794"/>
      <c r="F17" s="794"/>
      <c r="G17" s="794"/>
      <c r="H17" s="794"/>
      <c r="I17" s="794"/>
      <c r="J17" s="794"/>
      <c r="M17" s="793"/>
    </row>
    <row r="18" spans="1:16" s="787" customFormat="1" ht="14.7" customHeight="1" x14ac:dyDescent="0.3">
      <c r="A18" s="792"/>
      <c r="B18" s="794" t="s">
        <v>375</v>
      </c>
      <c r="C18" s="794"/>
      <c r="D18" s="794"/>
      <c r="E18" s="794"/>
      <c r="F18" s="794"/>
      <c r="G18" s="794"/>
      <c r="H18" s="794"/>
      <c r="I18" s="794"/>
      <c r="J18" s="794"/>
      <c r="M18" s="793"/>
    </row>
    <row r="19" spans="1:16" s="787" customFormat="1" ht="14.4" customHeight="1" thickBot="1" x14ac:dyDescent="0.35">
      <c r="B19" s="794" t="s">
        <v>376</v>
      </c>
      <c r="M19" s="793"/>
    </row>
    <row r="20" spans="1:16" ht="15" thickBot="1" x14ac:dyDescent="0.35">
      <c r="B20" s="854" t="s">
        <v>333</v>
      </c>
      <c r="C20" s="855"/>
      <c r="D20" s="855"/>
      <c r="E20" s="855"/>
      <c r="F20" s="856"/>
      <c r="G20" s="752"/>
      <c r="H20" s="752"/>
      <c r="I20" s="752"/>
      <c r="M20" s="574"/>
    </row>
    <row r="21" spans="1:16" ht="15" thickBot="1" x14ac:dyDescent="0.35">
      <c r="B21" s="513" t="s">
        <v>0</v>
      </c>
      <c r="C21" s="734"/>
      <c r="D21" s="735"/>
      <c r="N21" s="574"/>
      <c r="O21" s="574"/>
      <c r="P21" s="574"/>
    </row>
    <row r="22" spans="1:16" ht="15" thickBot="1" x14ac:dyDescent="0.35">
      <c r="B22" s="851" t="s">
        <v>543</v>
      </c>
      <c r="C22" s="852"/>
      <c r="D22" s="853"/>
    </row>
    <row r="23" spans="1:16" ht="15" thickBot="1" x14ac:dyDescent="0.35">
      <c r="B23" s="835" t="s">
        <v>543</v>
      </c>
      <c r="C23" s="836"/>
      <c r="D23" s="837"/>
      <c r="E23" s="743"/>
      <c r="F23" s="743"/>
      <c r="G23" s="743"/>
    </row>
    <row r="24" spans="1:16" ht="15" thickBot="1" x14ac:dyDescent="0.35">
      <c r="B24" s="754"/>
      <c r="C24" s="754"/>
      <c r="D24" s="754"/>
      <c r="E24" s="743"/>
      <c r="F24" s="743"/>
      <c r="G24" s="743"/>
    </row>
    <row r="25" spans="1:16" ht="16.2" thickBot="1" x14ac:dyDescent="0.35">
      <c r="A25" s="831" t="s">
        <v>580</v>
      </c>
      <c r="B25" s="832"/>
      <c r="C25" s="832"/>
      <c r="D25" s="832"/>
      <c r="E25" s="832"/>
      <c r="F25" s="832"/>
      <c r="G25" s="832"/>
      <c r="H25" s="832"/>
      <c r="I25" s="832"/>
      <c r="J25" s="832"/>
      <c r="K25" s="832"/>
      <c r="L25" s="832"/>
      <c r="M25" s="832"/>
      <c r="N25" s="832"/>
      <c r="O25" s="832"/>
      <c r="P25" s="833"/>
    </row>
    <row r="26" spans="1:16" ht="15" thickBot="1" x14ac:dyDescent="0.35">
      <c r="A26" s="823" t="s">
        <v>332</v>
      </c>
      <c r="B26" s="824"/>
      <c r="C26" s="824"/>
      <c r="D26" s="824"/>
      <c r="E26" s="824"/>
      <c r="F26" s="824"/>
      <c r="G26" s="824"/>
      <c r="H26" s="824"/>
      <c r="I26" s="824"/>
      <c r="J26" s="824"/>
      <c r="K26" s="824"/>
      <c r="L26" s="824"/>
      <c r="M26" s="824"/>
      <c r="N26" s="824"/>
      <c r="O26" s="824"/>
      <c r="P26" s="825"/>
    </row>
    <row r="27" spans="1:16" x14ac:dyDescent="0.3">
      <c r="A27"/>
      <c r="B27" t="s">
        <v>495</v>
      </c>
    </row>
    <row r="28" spans="1:16" ht="14.7" customHeight="1" x14ac:dyDescent="0.3">
      <c r="A28"/>
      <c r="B28" t="s">
        <v>496</v>
      </c>
    </row>
    <row r="29" spans="1:16" ht="14.7" customHeight="1" x14ac:dyDescent="0.3">
      <c r="A29"/>
      <c r="B29" t="s">
        <v>497</v>
      </c>
    </row>
    <row r="30" spans="1:16" ht="14.7" customHeight="1" x14ac:dyDescent="0.3">
      <c r="A30"/>
      <c r="B30" t="s">
        <v>523</v>
      </c>
    </row>
    <row r="31" spans="1:16" ht="14.7" customHeight="1" x14ac:dyDescent="0.3">
      <c r="A31"/>
      <c r="B31" t="s">
        <v>575</v>
      </c>
    </row>
    <row r="32" spans="1:16" ht="14.7" customHeight="1" x14ac:dyDescent="0.3">
      <c r="A32"/>
      <c r="B32" t="s">
        <v>576</v>
      </c>
    </row>
    <row r="33" spans="1:16" s="787" customFormat="1" ht="14.7" customHeight="1" x14ac:dyDescent="0.3">
      <c r="A33" s="791"/>
      <c r="B33" s="791" t="s">
        <v>525</v>
      </c>
    </row>
    <row r="34" spans="1:16" ht="14.7" customHeight="1" x14ac:dyDescent="0.3">
      <c r="B34" s="504" t="s">
        <v>524</v>
      </c>
      <c r="D34" s="510"/>
      <c r="E34" s="510"/>
      <c r="F34" s="514"/>
      <c r="G34" s="514"/>
      <c r="H34" s="514"/>
      <c r="I34" s="514"/>
      <c r="J34" s="514"/>
      <c r="K34" s="514"/>
    </row>
    <row r="35" spans="1:16" x14ac:dyDescent="0.3">
      <c r="B35" s="504" t="s">
        <v>601</v>
      </c>
      <c r="J35" s="795"/>
    </row>
    <row r="36" spans="1:16" x14ac:dyDescent="0.3">
      <c r="B36" s="504" t="s">
        <v>522</v>
      </c>
      <c r="J36" s="515"/>
    </row>
    <row r="37" spans="1:16" ht="14.7" customHeight="1" x14ac:dyDescent="0.3">
      <c r="B37" s="504" t="s">
        <v>572</v>
      </c>
    </row>
    <row r="38" spans="1:16" s="787" customFormat="1" ht="14.7" customHeight="1" x14ac:dyDescent="0.3">
      <c r="C38" s="787" t="s">
        <v>368</v>
      </c>
    </row>
    <row r="39" spans="1:16" s="787" customFormat="1" ht="14.7" customHeight="1" x14ac:dyDescent="0.3">
      <c r="C39" s="787" t="s">
        <v>369</v>
      </c>
    </row>
    <row r="40" spans="1:16" ht="14.7" customHeight="1" thickBot="1" x14ac:dyDescent="0.35">
      <c r="C40" s="509"/>
    </row>
    <row r="41" spans="1:16" ht="14.7" customHeight="1" thickBot="1" x14ac:dyDescent="0.35">
      <c r="A41" s="820" t="s">
        <v>373</v>
      </c>
      <c r="B41" s="821"/>
      <c r="C41" s="821"/>
      <c r="D41" s="821"/>
      <c r="E41" s="821"/>
      <c r="F41" s="821"/>
      <c r="G41" s="821"/>
      <c r="H41" s="821"/>
      <c r="I41" s="821"/>
      <c r="J41" s="821"/>
      <c r="K41" s="821"/>
      <c r="L41" s="821"/>
      <c r="M41" s="821"/>
      <c r="N41" s="821"/>
      <c r="O41" s="821"/>
      <c r="P41" s="822"/>
    </row>
    <row r="42" spans="1:16" ht="14.7" customHeight="1" x14ac:dyDescent="0.3">
      <c r="B42" s="516" t="s">
        <v>498</v>
      </c>
      <c r="C42" s="510"/>
      <c r="D42" s="510"/>
      <c r="E42" s="510"/>
      <c r="F42" s="510"/>
      <c r="G42" s="510"/>
      <c r="H42" s="510"/>
      <c r="I42" s="510"/>
    </row>
    <row r="43" spans="1:16" ht="14.7" customHeight="1" x14ac:dyDescent="0.3">
      <c r="B43" s="516"/>
      <c r="C43" s="510" t="s">
        <v>433</v>
      </c>
      <c r="D43" s="510"/>
      <c r="E43" s="510"/>
      <c r="F43" s="510"/>
      <c r="G43" s="510"/>
      <c r="H43" s="510"/>
      <c r="I43" s="510"/>
    </row>
    <row r="44" spans="1:16" ht="14.7" customHeight="1" x14ac:dyDescent="0.3">
      <c r="B44" s="516" t="s">
        <v>538</v>
      </c>
      <c r="C44" s="510"/>
      <c r="D44" s="510"/>
      <c r="E44" s="510"/>
      <c r="F44" s="510"/>
      <c r="G44" s="510"/>
      <c r="H44" s="510"/>
    </row>
    <row r="45" spans="1:16" x14ac:dyDescent="0.3">
      <c r="B45" s="516" t="s">
        <v>539</v>
      </c>
      <c r="C45" s="510"/>
      <c r="D45" s="510"/>
      <c r="E45" s="510"/>
      <c r="F45" s="514"/>
      <c r="G45" s="514"/>
      <c r="H45" s="514"/>
      <c r="I45" s="514"/>
      <c r="J45" s="514"/>
      <c r="K45" s="514"/>
    </row>
    <row r="46" spans="1:16" ht="15" thickBot="1" x14ac:dyDescent="0.35"/>
    <row r="47" spans="1:16" ht="14.7" customHeight="1" thickBot="1" x14ac:dyDescent="0.35">
      <c r="A47" s="820" t="s">
        <v>334</v>
      </c>
      <c r="B47" s="821"/>
      <c r="C47" s="821"/>
      <c r="D47" s="821"/>
      <c r="E47" s="821"/>
      <c r="F47" s="821"/>
      <c r="G47" s="821"/>
      <c r="H47" s="821"/>
      <c r="I47" s="821"/>
      <c r="J47" s="821"/>
      <c r="K47" s="821"/>
      <c r="L47" s="821"/>
      <c r="M47" s="821"/>
      <c r="N47" s="821"/>
      <c r="O47" s="821"/>
      <c r="P47" s="822"/>
    </row>
    <row r="48" spans="1:16" ht="14.7" customHeight="1" x14ac:dyDescent="0.3">
      <c r="B48" s="510" t="s">
        <v>583</v>
      </c>
    </row>
    <row r="49" spans="2:17" ht="14.7" customHeight="1" x14ac:dyDescent="0.3">
      <c r="B49" s="510"/>
      <c r="C49" s="504" t="s">
        <v>584</v>
      </c>
      <c r="E49" s="510"/>
      <c r="F49" s="510"/>
      <c r="G49" s="510"/>
      <c r="H49" s="510"/>
      <c r="I49" s="510"/>
      <c r="J49" s="510"/>
      <c r="K49" s="510"/>
      <c r="L49" s="510"/>
    </row>
    <row r="50" spans="2:17" x14ac:dyDescent="0.3">
      <c r="B50" s="510"/>
      <c r="C50" s="504" t="s">
        <v>537</v>
      </c>
      <c r="E50" s="510"/>
      <c r="F50" s="510"/>
      <c r="G50" s="510"/>
      <c r="H50" s="510"/>
      <c r="I50" s="510"/>
      <c r="J50" s="510"/>
      <c r="K50" s="510"/>
      <c r="L50" s="510"/>
    </row>
    <row r="51" spans="2:17" s="787" customFormat="1" ht="14.7" customHeight="1" x14ac:dyDescent="0.3">
      <c r="C51" s="787" t="s">
        <v>370</v>
      </c>
      <c r="I51" s="790"/>
      <c r="Q51" s="787" t="s">
        <v>2</v>
      </c>
    </row>
    <row r="52" spans="2:17" s="787" customFormat="1" ht="14.7" customHeight="1" x14ac:dyDescent="0.3">
      <c r="C52" s="787" t="s">
        <v>444</v>
      </c>
      <c r="I52" s="790"/>
    </row>
    <row r="53" spans="2:17" ht="14.7" customHeight="1" x14ac:dyDescent="0.3">
      <c r="B53" s="510" t="s">
        <v>536</v>
      </c>
      <c r="I53" s="515"/>
      <c r="J53" s="518"/>
      <c r="Q53" s="510"/>
    </row>
    <row r="54" spans="2:17" ht="14.7" customHeight="1" x14ac:dyDescent="0.3">
      <c r="B54" s="510" t="s">
        <v>526</v>
      </c>
      <c r="I54" s="515"/>
      <c r="J54" s="518"/>
      <c r="Q54" s="510"/>
    </row>
    <row r="55" spans="2:17" ht="14.7" customHeight="1" x14ac:dyDescent="0.3">
      <c r="B55" s="510" t="s">
        <v>585</v>
      </c>
      <c r="I55" s="515"/>
      <c r="J55" s="518"/>
      <c r="Q55" s="510"/>
    </row>
    <row r="56" spans="2:17" ht="14.7" customHeight="1" x14ac:dyDescent="0.3">
      <c r="B56" s="510" t="s">
        <v>535</v>
      </c>
      <c r="I56" s="515"/>
      <c r="J56" s="518"/>
      <c r="Q56" s="510"/>
    </row>
    <row r="57" spans="2:17" x14ac:dyDescent="0.3">
      <c r="B57" s="510"/>
      <c r="C57" s="504" t="s">
        <v>586</v>
      </c>
      <c r="K57" s="510"/>
    </row>
    <row r="58" spans="2:17" x14ac:dyDescent="0.3">
      <c r="B58" s="510" t="s">
        <v>499</v>
      </c>
      <c r="C58" s="510"/>
      <c r="D58" s="510"/>
      <c r="K58" s="517"/>
    </row>
    <row r="59" spans="2:17" s="787" customFormat="1" x14ac:dyDescent="0.3">
      <c r="C59" s="787" t="s">
        <v>587</v>
      </c>
      <c r="K59" s="788"/>
    </row>
    <row r="60" spans="2:17" s="787" customFormat="1" x14ac:dyDescent="0.3">
      <c r="C60" s="787" t="s">
        <v>443</v>
      </c>
    </row>
    <row r="61" spans="2:17" ht="14.7" customHeight="1" x14ac:dyDescent="0.3">
      <c r="B61" s="510" t="s">
        <v>540</v>
      </c>
      <c r="C61" s="510"/>
      <c r="D61" s="510"/>
    </row>
    <row r="62" spans="2:17" x14ac:dyDescent="0.3">
      <c r="B62" s="510" t="s">
        <v>531</v>
      </c>
    </row>
    <row r="63" spans="2:17" x14ac:dyDescent="0.3">
      <c r="B63" s="504" t="s">
        <v>532</v>
      </c>
    </row>
    <row r="64" spans="2:17" s="787" customFormat="1" x14ac:dyDescent="0.3">
      <c r="C64" s="787" t="s">
        <v>533</v>
      </c>
    </row>
    <row r="65" spans="1:16" s="787" customFormat="1" ht="14.4" customHeight="1" thickBot="1" x14ac:dyDescent="0.35">
      <c r="C65" s="787" t="s">
        <v>534</v>
      </c>
      <c r="K65" s="790"/>
    </row>
    <row r="66" spans="1:16" ht="16.2" thickBot="1" x14ac:dyDescent="0.35">
      <c r="A66" s="826" t="s">
        <v>364</v>
      </c>
      <c r="B66" s="827"/>
      <c r="C66" s="827"/>
      <c r="D66" s="827"/>
      <c r="E66" s="827"/>
      <c r="F66" s="827"/>
      <c r="G66" s="827"/>
      <c r="H66" s="827"/>
      <c r="I66" s="828" t="s">
        <v>365</v>
      </c>
      <c r="J66" s="828"/>
      <c r="K66" s="828"/>
      <c r="L66" s="829"/>
    </row>
    <row r="67" spans="1:16" ht="15" thickBot="1" x14ac:dyDescent="0.35">
      <c r="A67" s="830" t="str">
        <f>A2</f>
        <v>DT2221     08/2022</v>
      </c>
      <c r="B67" s="830"/>
      <c r="C67" s="830"/>
      <c r="D67" s="830"/>
      <c r="E67" s="830"/>
      <c r="F67" s="830"/>
      <c r="G67" s="830"/>
      <c r="H67" s="830"/>
      <c r="I67" s="830"/>
      <c r="J67" s="830"/>
      <c r="K67" s="830"/>
      <c r="L67" s="830"/>
    </row>
    <row r="68" spans="1:16" ht="15" thickBot="1" x14ac:dyDescent="0.35">
      <c r="A68" s="820" t="s">
        <v>602</v>
      </c>
      <c r="B68" s="821"/>
      <c r="C68" s="821"/>
      <c r="D68" s="821"/>
      <c r="E68" s="821"/>
      <c r="F68" s="821"/>
      <c r="G68" s="821"/>
      <c r="H68" s="821"/>
      <c r="I68" s="821"/>
      <c r="J68" s="821"/>
      <c r="K68" s="821"/>
      <c r="L68" s="821"/>
      <c r="M68" s="821"/>
      <c r="N68" s="821"/>
      <c r="O68" s="821"/>
      <c r="P68" s="822"/>
    </row>
    <row r="69" spans="1:16" s="787" customFormat="1" x14ac:dyDescent="0.3">
      <c r="B69" s="787" t="s">
        <v>573</v>
      </c>
      <c r="K69" s="790"/>
    </row>
    <row r="70" spans="1:16" x14ac:dyDescent="0.3">
      <c r="A70" s="517"/>
      <c r="B70" s="510" t="s">
        <v>570</v>
      </c>
      <c r="C70" s="510"/>
      <c r="D70" s="510"/>
      <c r="E70" s="510"/>
      <c r="F70" s="510"/>
      <c r="G70" s="510"/>
      <c r="H70" s="510"/>
      <c r="I70" s="510"/>
      <c r="J70" s="510"/>
      <c r="K70" s="518"/>
    </row>
    <row r="71" spans="1:16" x14ac:dyDescent="0.3">
      <c r="B71" s="510" t="s">
        <v>557</v>
      </c>
      <c r="K71" s="518"/>
    </row>
    <row r="72" spans="1:16" x14ac:dyDescent="0.3">
      <c r="B72" s="510" t="s">
        <v>577</v>
      </c>
      <c r="K72" s="518"/>
    </row>
    <row r="73" spans="1:16" x14ac:dyDescent="0.3">
      <c r="B73" s="516" t="s">
        <v>563</v>
      </c>
      <c r="K73" s="518"/>
    </row>
    <row r="74" spans="1:16" x14ac:dyDescent="0.3">
      <c r="B74" s="516" t="s">
        <v>589</v>
      </c>
      <c r="K74" s="518"/>
    </row>
    <row r="75" spans="1:16" x14ac:dyDescent="0.3">
      <c r="B75" s="516" t="s">
        <v>598</v>
      </c>
      <c r="C75" s="106"/>
      <c r="K75" s="518"/>
    </row>
    <row r="76" spans="1:16" x14ac:dyDescent="0.3">
      <c r="B76" s="516" t="s">
        <v>578</v>
      </c>
      <c r="K76" s="518"/>
    </row>
    <row r="77" spans="1:16" x14ac:dyDescent="0.3">
      <c r="A77" s="517"/>
      <c r="B77" s="106" t="s">
        <v>564</v>
      </c>
      <c r="C77" s="106"/>
      <c r="D77" s="92"/>
      <c r="E77" s="519"/>
      <c r="F77" s="504" t="s">
        <v>163</v>
      </c>
      <c r="G77" s="519" t="s">
        <v>360</v>
      </c>
      <c r="H77" t="s">
        <v>562</v>
      </c>
      <c r="I77" s="519" t="s">
        <v>360</v>
      </c>
      <c r="J77" s="106" t="s">
        <v>1</v>
      </c>
      <c r="K77" s="518"/>
    </row>
    <row r="78" spans="1:16" x14ac:dyDescent="0.3">
      <c r="B78" s="106" t="s">
        <v>565</v>
      </c>
      <c r="C78" s="106"/>
      <c r="K78" s="518"/>
    </row>
    <row r="79" spans="1:16" x14ac:dyDescent="0.3">
      <c r="B79" s="516"/>
      <c r="C79" s="106" t="s">
        <v>501</v>
      </c>
      <c r="D79" s="518"/>
      <c r="E79" s="518"/>
      <c r="F79" s="518"/>
      <c r="G79" s="518"/>
      <c r="H79" s="518"/>
      <c r="I79" s="518"/>
      <c r="J79" s="518"/>
      <c r="K79" s="518"/>
    </row>
    <row r="80" spans="1:16" x14ac:dyDescent="0.3">
      <c r="B80" s="750"/>
      <c r="C80" s="516" t="s">
        <v>335</v>
      </c>
      <c r="D80" s="518"/>
      <c r="E80" s="518"/>
      <c r="F80" s="518"/>
      <c r="G80" s="518"/>
      <c r="H80" s="518"/>
      <c r="I80" s="518"/>
      <c r="J80" s="518"/>
      <c r="K80" s="518"/>
    </row>
    <row r="81" spans="1:16" x14ac:dyDescent="0.3">
      <c r="B81" s="750"/>
      <c r="C81" s="516" t="s">
        <v>336</v>
      </c>
      <c r="D81" s="518"/>
      <c r="E81" s="518"/>
      <c r="F81" s="518"/>
      <c r="G81" s="518"/>
      <c r="H81" s="518"/>
      <c r="I81" s="518"/>
      <c r="J81" s="518"/>
      <c r="K81" s="518"/>
    </row>
    <row r="82" spans="1:16" x14ac:dyDescent="0.3">
      <c r="B82" s="750"/>
      <c r="C82" s="106" t="s">
        <v>559</v>
      </c>
      <c r="D82" s="518"/>
      <c r="E82" s="518"/>
      <c r="F82" s="518"/>
      <c r="G82" s="518"/>
      <c r="H82" s="518"/>
      <c r="I82" s="518"/>
      <c r="J82" s="518"/>
      <c r="K82" s="518"/>
    </row>
    <row r="83" spans="1:16" x14ac:dyDescent="0.3">
      <c r="B83" s="750"/>
      <c r="C83" s="106" t="s">
        <v>558</v>
      </c>
      <c r="D83" s="518"/>
      <c r="E83" s="518"/>
      <c r="F83" s="518"/>
      <c r="G83" s="518"/>
      <c r="H83" s="518"/>
      <c r="I83" s="518"/>
      <c r="J83" s="518"/>
      <c r="K83" s="518"/>
    </row>
    <row r="84" spans="1:16" x14ac:dyDescent="0.3">
      <c r="B84" s="750"/>
      <c r="C84" s="106" t="s">
        <v>560</v>
      </c>
      <c r="D84" s="518"/>
      <c r="E84" s="518"/>
      <c r="F84" s="518"/>
      <c r="G84" s="518"/>
      <c r="H84" s="518"/>
      <c r="I84" s="518"/>
      <c r="J84" s="518"/>
    </row>
    <row r="85" spans="1:16" x14ac:dyDescent="0.3">
      <c r="B85" s="750"/>
      <c r="C85" s="516" t="s">
        <v>561</v>
      </c>
      <c r="D85" s="518"/>
      <c r="E85" s="518"/>
      <c r="F85" s="518"/>
      <c r="G85" s="518"/>
      <c r="H85" s="518"/>
      <c r="I85" s="518"/>
      <c r="J85" s="518"/>
    </row>
    <row r="86" spans="1:16" x14ac:dyDescent="0.3">
      <c r="B86" s="510" t="s">
        <v>566</v>
      </c>
      <c r="C86" s="510"/>
      <c r="D86" s="518"/>
      <c r="E86" s="518"/>
      <c r="F86" s="518"/>
      <c r="G86" s="518"/>
      <c r="H86" s="518"/>
      <c r="I86" s="518"/>
      <c r="J86" s="518"/>
    </row>
    <row r="87" spans="1:16" ht="16.2" x14ac:dyDescent="0.3">
      <c r="B87" s="510" t="s">
        <v>567</v>
      </c>
      <c r="C87" s="510"/>
      <c r="D87" s="518"/>
      <c r="E87" s="518"/>
      <c r="F87" s="518"/>
      <c r="G87" s="518"/>
      <c r="H87" s="518"/>
      <c r="I87" s="518"/>
      <c r="J87" s="518"/>
    </row>
    <row r="88" spans="1:16" ht="16.2" x14ac:dyDescent="0.3">
      <c r="B88" s="510"/>
      <c r="C88" s="510" t="s">
        <v>293</v>
      </c>
      <c r="D88" s="518"/>
      <c r="E88" s="518"/>
      <c r="F88" s="518"/>
      <c r="G88" s="518"/>
      <c r="H88" s="518"/>
      <c r="I88" s="518"/>
      <c r="J88" s="518"/>
    </row>
    <row r="89" spans="1:16" x14ac:dyDescent="0.3">
      <c r="B89" s="510" t="s">
        <v>568</v>
      </c>
      <c r="C89" s="510"/>
      <c r="D89" s="518"/>
      <c r="E89" s="518"/>
      <c r="F89" s="518"/>
      <c r="G89" s="518"/>
      <c r="H89" s="518"/>
      <c r="I89" s="518"/>
      <c r="J89" s="518"/>
    </row>
    <row r="90" spans="1:16" x14ac:dyDescent="0.3">
      <c r="B90" s="510" t="s">
        <v>569</v>
      </c>
      <c r="C90" s="510"/>
      <c r="D90" s="518"/>
      <c r="E90" s="518"/>
      <c r="F90" s="518"/>
      <c r="G90" s="518"/>
      <c r="H90" s="518"/>
      <c r="I90" s="518"/>
      <c r="J90" s="518"/>
    </row>
    <row r="91" spans="1:16" s="787" customFormat="1" x14ac:dyDescent="0.3">
      <c r="C91" s="787" t="s">
        <v>371</v>
      </c>
      <c r="I91" s="790"/>
    </row>
    <row r="92" spans="1:16" ht="15" thickBot="1" x14ac:dyDescent="0.35">
      <c r="I92" s="518"/>
    </row>
    <row r="93" spans="1:16" ht="14.4" customHeight="1" thickBot="1" x14ac:dyDescent="0.35">
      <c r="A93" s="820" t="s">
        <v>494</v>
      </c>
      <c r="B93" s="821"/>
      <c r="C93" s="821"/>
      <c r="D93" s="821"/>
      <c r="E93" s="821"/>
      <c r="F93" s="821"/>
      <c r="G93" s="821"/>
      <c r="H93" s="821"/>
      <c r="I93" s="821"/>
      <c r="J93" s="821"/>
      <c r="K93" s="821"/>
      <c r="L93" s="821"/>
      <c r="M93" s="821"/>
      <c r="N93" s="821"/>
      <c r="O93" s="821"/>
      <c r="P93" s="822"/>
    </row>
    <row r="94" spans="1:16" s="787" customFormat="1" ht="14.4" customHeight="1" x14ac:dyDescent="0.3">
      <c r="B94" s="787" t="s">
        <v>508</v>
      </c>
      <c r="J94" s="790"/>
    </row>
    <row r="95" spans="1:16" x14ac:dyDescent="0.3">
      <c r="B95" s="504" t="s">
        <v>507</v>
      </c>
    </row>
    <row r="96" spans="1:16" x14ac:dyDescent="0.3">
      <c r="B96" s="504" t="s">
        <v>509</v>
      </c>
      <c r="C96" s="520"/>
    </row>
    <row r="97" spans="1:16" x14ac:dyDescent="0.3">
      <c r="B97" s="504" t="s">
        <v>510</v>
      </c>
      <c r="C97" s="520"/>
      <c r="I97" s="518"/>
    </row>
    <row r="98" spans="1:16" x14ac:dyDescent="0.3">
      <c r="B98" s="504" t="s">
        <v>511</v>
      </c>
      <c r="I98" s="521"/>
      <c r="J98" s="518"/>
    </row>
    <row r="99" spans="1:16" x14ac:dyDescent="0.3">
      <c r="B99" s="504" t="s">
        <v>512</v>
      </c>
      <c r="I99" s="522"/>
      <c r="J99" s="521"/>
      <c r="K99" s="521"/>
      <c r="L99" s="521"/>
    </row>
    <row r="100" spans="1:16" ht="14.4" customHeight="1" thickBot="1" x14ac:dyDescent="0.35">
      <c r="B100" s="520"/>
      <c r="I100" s="522"/>
      <c r="J100" s="521"/>
      <c r="K100" s="521"/>
      <c r="L100" s="521"/>
    </row>
    <row r="101" spans="1:16" ht="15" thickBot="1" x14ac:dyDescent="0.35">
      <c r="A101" s="820" t="s">
        <v>603</v>
      </c>
      <c r="B101" s="821"/>
      <c r="C101" s="821"/>
      <c r="D101" s="821"/>
      <c r="E101" s="821"/>
      <c r="F101" s="821"/>
      <c r="G101" s="821"/>
      <c r="H101" s="821"/>
      <c r="I101" s="821"/>
      <c r="J101" s="821"/>
      <c r="K101" s="821"/>
      <c r="L101" s="821"/>
      <c r="M101" s="821"/>
      <c r="N101" s="821"/>
      <c r="O101" s="821"/>
      <c r="P101" s="822"/>
    </row>
    <row r="102" spans="1:16" s="787" customFormat="1" x14ac:dyDescent="0.3">
      <c r="A102" s="787" t="s">
        <v>590</v>
      </c>
      <c r="K102" s="789"/>
      <c r="L102" s="789"/>
    </row>
    <row r="103" spans="1:16" x14ac:dyDescent="0.3">
      <c r="B103" s="504" t="s">
        <v>513</v>
      </c>
      <c r="K103" s="522"/>
      <c r="L103" s="522"/>
    </row>
    <row r="104" spans="1:16" x14ac:dyDescent="0.3">
      <c r="B104" s="504" t="s">
        <v>516</v>
      </c>
    </row>
    <row r="105" spans="1:16" x14ac:dyDescent="0.3">
      <c r="C105" s="504" t="s">
        <v>514</v>
      </c>
    </row>
    <row r="106" spans="1:16" s="787" customFormat="1" x14ac:dyDescent="0.3">
      <c r="C106" s="787" t="s">
        <v>515</v>
      </c>
    </row>
    <row r="107" spans="1:16" ht="14.7" customHeight="1" x14ac:dyDescent="0.3">
      <c r="B107" s="504" t="s">
        <v>556</v>
      </c>
    </row>
    <row r="108" spans="1:16" x14ac:dyDescent="0.3">
      <c r="B108" s="504" t="s">
        <v>542</v>
      </c>
      <c r="I108" s="518"/>
      <c r="J108" s="522"/>
    </row>
    <row r="109" spans="1:16" x14ac:dyDescent="0.3">
      <c r="C109" s="504" t="s">
        <v>541</v>
      </c>
      <c r="J109" s="518"/>
    </row>
    <row r="110" spans="1:16" x14ac:dyDescent="0.3">
      <c r="C110" s="504" t="s">
        <v>517</v>
      </c>
      <c r="E110" s="520"/>
    </row>
    <row r="111" spans="1:16" x14ac:dyDescent="0.3">
      <c r="B111" s="504" t="s">
        <v>518</v>
      </c>
      <c r="E111" s="520"/>
    </row>
    <row r="112" spans="1:16" x14ac:dyDescent="0.3">
      <c r="C112" s="504" t="s">
        <v>588</v>
      </c>
    </row>
    <row r="113" spans="1:16" x14ac:dyDescent="0.3">
      <c r="C113" s="504" t="s">
        <v>519</v>
      </c>
    </row>
    <row r="114" spans="1:16" s="787" customFormat="1" x14ac:dyDescent="0.3">
      <c r="C114" s="787" t="s">
        <v>579</v>
      </c>
    </row>
    <row r="115" spans="1:16" x14ac:dyDescent="0.3">
      <c r="C115" s="504" t="s">
        <v>552</v>
      </c>
    </row>
    <row r="116" spans="1:16" x14ac:dyDescent="0.3">
      <c r="C116" s="504" t="s">
        <v>553</v>
      </c>
    </row>
    <row r="117" spans="1:16" x14ac:dyDescent="0.3">
      <c r="C117" s="504" t="s">
        <v>554</v>
      </c>
    </row>
    <row r="118" spans="1:16" x14ac:dyDescent="0.3">
      <c r="C118" s="504" t="s">
        <v>555</v>
      </c>
    </row>
    <row r="119" spans="1:16" x14ac:dyDescent="0.3">
      <c r="B119" s="504" t="s">
        <v>527</v>
      </c>
    </row>
    <row r="120" spans="1:16" x14ac:dyDescent="0.3">
      <c r="B120" s="504" t="s">
        <v>528</v>
      </c>
    </row>
    <row r="121" spans="1:16" x14ac:dyDescent="0.3">
      <c r="B121" s="504" t="s">
        <v>520</v>
      </c>
    </row>
    <row r="122" spans="1:16" ht="15" thickBot="1" x14ac:dyDescent="0.35"/>
    <row r="123" spans="1:16" ht="15" thickBot="1" x14ac:dyDescent="0.35">
      <c r="A123" s="823" t="s">
        <v>164</v>
      </c>
      <c r="B123" s="824"/>
      <c r="C123" s="824"/>
      <c r="D123" s="824"/>
      <c r="E123" s="824"/>
      <c r="F123" s="824"/>
      <c r="G123" s="824"/>
      <c r="H123" s="824"/>
      <c r="I123" s="824"/>
      <c r="J123" s="824"/>
      <c r="K123" s="824"/>
      <c r="L123" s="824"/>
      <c r="M123" s="824"/>
      <c r="N123" s="824"/>
      <c r="O123" s="824"/>
      <c r="P123" s="825"/>
    </row>
    <row r="124" spans="1:16" x14ac:dyDescent="0.3">
      <c r="B124" s="504" t="s">
        <v>165</v>
      </c>
    </row>
    <row r="125" spans="1:16" x14ac:dyDescent="0.3">
      <c r="A125" s="787"/>
      <c r="B125" s="787" t="s">
        <v>223</v>
      </c>
      <c r="C125" s="787"/>
      <c r="D125" s="787"/>
      <c r="E125" s="787"/>
      <c r="F125" s="787"/>
      <c r="G125" s="787"/>
      <c r="H125" s="787"/>
      <c r="I125" s="787"/>
      <c r="J125" s="787"/>
      <c r="K125" s="787"/>
      <c r="L125" s="787"/>
      <c r="M125" s="787"/>
    </row>
    <row r="126" spans="1:16" x14ac:dyDescent="0.3">
      <c r="A126" s="787"/>
      <c r="B126" s="787" t="s">
        <v>521</v>
      </c>
      <c r="C126" s="787"/>
      <c r="D126" s="787"/>
      <c r="E126" s="787"/>
      <c r="F126" s="787"/>
      <c r="G126" s="787"/>
      <c r="H126" s="787"/>
      <c r="I126" s="787"/>
      <c r="J126" s="787"/>
      <c r="K126" s="787"/>
      <c r="L126" s="787"/>
      <c r="M126" s="787"/>
    </row>
    <row r="128" spans="1:16" x14ac:dyDescent="0.3">
      <c r="C128" s="574"/>
      <c r="D128" s="574"/>
      <c r="E128" s="574"/>
    </row>
    <row r="129" spans="3:5" x14ac:dyDescent="0.3">
      <c r="C129" s="574"/>
      <c r="D129" s="574"/>
      <c r="E129" s="574"/>
    </row>
    <row r="130" spans="3:5" x14ac:dyDescent="0.3">
      <c r="C130" s="574"/>
      <c r="D130" s="574"/>
      <c r="E130" s="574"/>
    </row>
    <row r="131" spans="3:5" x14ac:dyDescent="0.3">
      <c r="C131" s="574"/>
      <c r="D131" s="574"/>
      <c r="E131" s="574"/>
    </row>
    <row r="132" spans="3:5" x14ac:dyDescent="0.3">
      <c r="C132" s="574"/>
      <c r="D132" s="574"/>
      <c r="E132" s="574"/>
    </row>
    <row r="133" spans="3:5" x14ac:dyDescent="0.3">
      <c r="C133" s="574"/>
      <c r="D133" s="574"/>
      <c r="E133" s="574"/>
    </row>
    <row r="134" spans="3:5" x14ac:dyDescent="0.3">
      <c r="C134" s="574"/>
      <c r="D134" s="574"/>
      <c r="E134" s="574"/>
    </row>
    <row r="135" spans="3:5" x14ac:dyDescent="0.3">
      <c r="C135" s="574"/>
      <c r="D135" s="574"/>
      <c r="E135" s="574"/>
    </row>
    <row r="136" spans="3:5" x14ac:dyDescent="0.3">
      <c r="C136" s="574"/>
      <c r="D136" s="574"/>
      <c r="E136" s="574"/>
    </row>
    <row r="137" spans="3:5" x14ac:dyDescent="0.3">
      <c r="C137" s="574"/>
      <c r="D137" s="574"/>
      <c r="E137" s="574"/>
    </row>
    <row r="138" spans="3:5" x14ac:dyDescent="0.3">
      <c r="C138" s="574"/>
      <c r="D138" s="574"/>
      <c r="E138" s="574"/>
    </row>
  </sheetData>
  <mergeCells count="25">
    <mergeCell ref="B5:L5"/>
    <mergeCell ref="B6:L6"/>
    <mergeCell ref="B7:L7"/>
    <mergeCell ref="B8:L8"/>
    <mergeCell ref="B22:D22"/>
    <mergeCell ref="B20:F20"/>
    <mergeCell ref="I1:L1"/>
    <mergeCell ref="A1:H1"/>
    <mergeCell ref="A2:L2"/>
    <mergeCell ref="A3:L3"/>
    <mergeCell ref="B4:L4"/>
    <mergeCell ref="N8:O8"/>
    <mergeCell ref="A66:H66"/>
    <mergeCell ref="I66:L66"/>
    <mergeCell ref="A67:L67"/>
    <mergeCell ref="A68:P68"/>
    <mergeCell ref="A26:P26"/>
    <mergeCell ref="A25:P25"/>
    <mergeCell ref="A10:P10"/>
    <mergeCell ref="B23:D23"/>
    <mergeCell ref="A93:P93"/>
    <mergeCell ref="A101:P101"/>
    <mergeCell ref="A47:P47"/>
    <mergeCell ref="A41:P41"/>
    <mergeCell ref="A123:P123"/>
  </mergeCells>
  <pageMargins left="0.7" right="0.7" top="0.75" bottom="0.75" header="0.3" footer="0.3"/>
  <pageSetup scale="61" orientation="portrait" r:id="rId1"/>
  <headerFooter>
    <oddFooter>&amp;L&amp;9&amp;A&amp;C&amp;9&amp;P of &amp;N&amp;R&amp;9&amp;F</oddFooter>
  </headerFooter>
  <rowBreaks count="2" manualBreakCount="2">
    <brk id="65" max="15" man="1"/>
    <brk id="142" max="15" man="1"/>
  </rowBreaks>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59FF5-0AFF-455F-A67F-0E2FAA225C33}">
  <dimension ref="A1:T58"/>
  <sheetViews>
    <sheetView showGridLines="0" zoomScale="80" zoomScaleNormal="80" zoomScaleSheetLayoutView="85" workbookViewId="0">
      <selection activeCell="V24" sqref="V24"/>
    </sheetView>
  </sheetViews>
  <sheetFormatPr defaultColWidth="8.6640625" defaultRowHeight="15.6" x14ac:dyDescent="0.3"/>
  <cols>
    <col min="1" max="1" width="19.44140625" style="344" customWidth="1"/>
    <col min="2" max="2" width="18.88671875" style="344" customWidth="1"/>
    <col min="3" max="3" width="14.5546875" style="344" customWidth="1"/>
    <col min="4" max="4" width="14.6640625" style="344" customWidth="1"/>
    <col min="5" max="5" width="14.44140625" style="344" customWidth="1"/>
    <col min="6" max="6" width="15" style="344" customWidth="1"/>
    <col min="7" max="7" width="14.6640625" style="344" customWidth="1"/>
    <col min="8" max="8" width="16.88671875" style="344" bestFit="1" customWidth="1"/>
    <col min="9" max="9" width="21.5546875" style="344" customWidth="1"/>
    <col min="10" max="11" width="21.6640625" style="344" customWidth="1"/>
    <col min="12" max="12" width="17.33203125" style="344" bestFit="1" customWidth="1"/>
    <col min="13" max="13" width="11.44140625" style="344" customWidth="1"/>
    <col min="14" max="14" width="11.44140625" style="344" bestFit="1" customWidth="1"/>
    <col min="15" max="15" width="8.6640625" style="344"/>
    <col min="16" max="16" width="21.6640625" style="344" hidden="1" customWidth="1"/>
    <col min="17" max="17" width="14.5546875" style="344" hidden="1" customWidth="1"/>
    <col min="18" max="18" width="17.44140625" style="344" hidden="1" customWidth="1"/>
    <col min="19" max="19" width="18.88671875" style="344" hidden="1" customWidth="1"/>
    <col min="20" max="20" width="6.33203125" style="344" hidden="1" customWidth="1"/>
    <col min="21" max="16384" width="8.6640625" style="344"/>
  </cols>
  <sheetData>
    <row r="1" spans="1:20" s="259" customFormat="1" ht="16.2" thickBot="1" x14ac:dyDescent="0.35">
      <c r="A1" s="1332" t="s">
        <v>378</v>
      </c>
      <c r="B1" s="1333"/>
      <c r="C1" s="1333"/>
      <c r="D1" s="1333"/>
      <c r="E1" s="1334" t="s">
        <v>365</v>
      </c>
      <c r="F1" s="1334"/>
      <c r="G1" s="1335"/>
      <c r="H1" s="532"/>
      <c r="I1" s="532"/>
    </row>
    <row r="2" spans="1:20" s="259" customFormat="1" ht="15.6" customHeight="1" x14ac:dyDescent="0.3">
      <c r="A2" s="533" t="str">
        <f>Directions!A2</f>
        <v>DT2221     08/2022</v>
      </c>
      <c r="B2" s="762"/>
      <c r="C2" s="763"/>
      <c r="D2" s="245"/>
      <c r="E2" s="245"/>
      <c r="F2" s="245"/>
      <c r="G2" s="245"/>
      <c r="H2" s="245"/>
      <c r="I2" s="245"/>
    </row>
    <row r="3" spans="1:20" s="259" customFormat="1" ht="16.2" customHeight="1" thickBot="1" x14ac:dyDescent="0.35">
      <c r="A3" s="330"/>
      <c r="B3" s="764"/>
      <c r="C3" s="764"/>
      <c r="D3" s="330"/>
      <c r="E3" s="330"/>
      <c r="F3" s="330"/>
      <c r="G3" s="330"/>
      <c r="I3" s="531"/>
    </row>
    <row r="4" spans="1:20" s="259" customFormat="1" ht="16.2" thickBot="1" x14ac:dyDescent="0.35">
      <c r="A4" s="1138" t="s">
        <v>78</v>
      </c>
      <c r="B4" s="1179"/>
      <c r="C4" s="1179"/>
      <c r="D4" s="1179"/>
      <c r="E4" s="1179"/>
      <c r="F4" s="1179"/>
      <c r="G4" s="1179"/>
      <c r="H4" s="1179"/>
      <c r="I4" s="1179"/>
      <c r="J4" s="1179"/>
      <c r="K4" s="1179"/>
      <c r="L4" s="1180"/>
    </row>
    <row r="5" spans="1:20" s="259" customFormat="1" x14ac:dyDescent="0.3">
      <c r="A5" s="1146" t="s">
        <v>79</v>
      </c>
      <c r="B5" s="1109" t="s">
        <v>219</v>
      </c>
      <c r="C5" s="1101"/>
      <c r="D5" s="1328" t="s">
        <v>396</v>
      </c>
      <c r="E5" s="1141" t="s">
        <v>342</v>
      </c>
      <c r="F5" s="1109" t="s">
        <v>26</v>
      </c>
      <c r="G5" s="1141" t="s">
        <v>343</v>
      </c>
      <c r="H5" s="1148" t="s">
        <v>210</v>
      </c>
      <c r="I5" s="1109" t="s">
        <v>79</v>
      </c>
      <c r="J5" s="1126" t="s">
        <v>342</v>
      </c>
      <c r="K5" s="1101" t="s">
        <v>395</v>
      </c>
      <c r="L5" s="1126" t="s">
        <v>343</v>
      </c>
      <c r="P5" s="259" t="s">
        <v>2</v>
      </c>
    </row>
    <row r="6" spans="1:20" s="259" customFormat="1" ht="16.2" thickBot="1" x14ac:dyDescent="0.35">
      <c r="A6" s="1147"/>
      <c r="B6" s="1144"/>
      <c r="C6" s="1145"/>
      <c r="D6" s="1066"/>
      <c r="E6" s="1142"/>
      <c r="F6" s="1329"/>
      <c r="G6" s="1199"/>
      <c r="H6" s="1149"/>
      <c r="I6" s="1144"/>
      <c r="J6" s="1196"/>
      <c r="K6" s="1145"/>
      <c r="L6" s="1196"/>
    </row>
    <row r="7" spans="1:20" s="259" customFormat="1" ht="16.2" thickBot="1" x14ac:dyDescent="0.35">
      <c r="A7" s="345" t="str">
        <f>'2 Aggregate System'!A13</f>
        <v>Coarse A</v>
      </c>
      <c r="B7" s="1150" t="str">
        <f>IF('2 Aggregate System'!B13=0,"",'2 Aggregate System'!B13)</f>
        <v/>
      </c>
      <c r="C7" s="1151"/>
      <c r="D7" s="553"/>
      <c r="E7" s="572" t="str">
        <f>'7 Calculation Check'!R21</f>
        <v>-</v>
      </c>
      <c r="F7" s="575" t="str">
        <f>'7 Calculation Check'!P21</f>
        <v>-</v>
      </c>
      <c r="G7" s="642" t="str">
        <f>'7 Calculation Check'!T21</f>
        <v>-</v>
      </c>
      <c r="H7" s="348" t="str">
        <f>IFERROR('6 Agg Analysis'!AP41,"")</f>
        <v/>
      </c>
      <c r="I7" s="345" t="str">
        <f>'3 Paste Quality'!A13</f>
        <v>Cement</v>
      </c>
      <c r="J7" s="357">
        <f>'7 Calculation Check'!R26</f>
        <v>0</v>
      </c>
      <c r="K7" s="329">
        <f>'7 Calculation Check'!E11</f>
        <v>0</v>
      </c>
      <c r="L7" s="355" t="str">
        <f>'7 Calculation Check'!M26</f>
        <v>-</v>
      </c>
      <c r="N7" s="801" t="str">
        <f>Directions!N8</f>
        <v>Version 2.1</v>
      </c>
    </row>
    <row r="8" spans="1:20" s="259" customFormat="1" ht="15.6" customHeight="1" thickBot="1" x14ac:dyDescent="0.35">
      <c r="A8" s="315" t="str">
        <f>'2 Aggregate System'!A14</f>
        <v>Coarse B</v>
      </c>
      <c r="B8" s="1150" t="str">
        <f>IF('2 Aggregate System'!B14=0,"",'2 Aggregate System'!B14)</f>
        <v/>
      </c>
      <c r="C8" s="1151"/>
      <c r="D8" s="569"/>
      <c r="E8" s="571" t="str">
        <f>'7 Calculation Check'!R22</f>
        <v>-</v>
      </c>
      <c r="F8" s="576" t="str">
        <f>'7 Calculation Check'!P22</f>
        <v>-</v>
      </c>
      <c r="G8" s="643" t="str">
        <f>'7 Calculation Check'!T22</f>
        <v>-</v>
      </c>
      <c r="H8" s="350" t="str">
        <f>IFERROR('6 Agg Analysis'!AP42,"")</f>
        <v/>
      </c>
      <c r="I8" s="315" t="str">
        <f>'3 Paste Quality'!A14</f>
        <v>Fly Ash</v>
      </c>
      <c r="J8" s="357" t="str">
        <f>'7 Calculation Check'!R27</f>
        <v>-</v>
      </c>
      <c r="K8" s="329" t="str">
        <f>'7 Calculation Check'!E12</f>
        <v>-</v>
      </c>
      <c r="L8" s="355" t="str">
        <f>'7 Calculation Check'!M27</f>
        <v>-</v>
      </c>
      <c r="Q8" s="1031" t="s">
        <v>450</v>
      </c>
      <c r="R8" s="1324"/>
      <c r="S8" s="1324"/>
      <c r="T8" s="1032"/>
    </row>
    <row r="9" spans="1:20" s="259" customFormat="1" x14ac:dyDescent="0.3">
      <c r="A9" s="315" t="str">
        <f>'2 Aggregate System'!A15</f>
        <v>Coarse C</v>
      </c>
      <c r="B9" s="1150" t="str">
        <f>IF('2 Aggregate System'!B15=0,"",'2 Aggregate System'!B15)</f>
        <v/>
      </c>
      <c r="C9" s="1151"/>
      <c r="D9" s="569"/>
      <c r="E9" s="571" t="str">
        <f>'7 Calculation Check'!R23</f>
        <v>-</v>
      </c>
      <c r="F9" s="576" t="str">
        <f>'7 Calculation Check'!P23</f>
        <v>-</v>
      </c>
      <c r="G9" s="643" t="str">
        <f>'7 Calculation Check'!T23</f>
        <v>-</v>
      </c>
      <c r="H9" s="350" t="str">
        <f>IFERROR('6 Agg Analysis'!AP43,"")</f>
        <v/>
      </c>
      <c r="I9" s="315" t="s">
        <v>72</v>
      </c>
      <c r="J9" s="357" t="str">
        <f>'7 Calculation Check'!R28</f>
        <v>-</v>
      </c>
      <c r="K9" s="329" t="str">
        <f>'7 Calculation Check'!E13</f>
        <v>-</v>
      </c>
      <c r="L9" s="355" t="str">
        <f>'7 Calculation Check'!M28</f>
        <v>-</v>
      </c>
      <c r="P9" s="620" t="s">
        <v>387</v>
      </c>
      <c r="Q9" s="1322" t="s">
        <v>315</v>
      </c>
      <c r="R9" s="1323"/>
      <c r="S9" s="1323"/>
      <c r="T9" s="1320" t="s">
        <v>278</v>
      </c>
    </row>
    <row r="10" spans="1:20" s="259" customFormat="1" x14ac:dyDescent="0.3">
      <c r="A10" s="315" t="str">
        <f>'2 Aggregate System'!A16</f>
        <v>Fine A</v>
      </c>
      <c r="B10" s="1150" t="str">
        <f>IF('2 Aggregate System'!B16=0,"",'2 Aggregate System'!B16)</f>
        <v/>
      </c>
      <c r="C10" s="1151"/>
      <c r="D10" s="569"/>
      <c r="E10" s="571" t="str">
        <f>'7 Calculation Check'!R24</f>
        <v>-</v>
      </c>
      <c r="F10" s="576" t="str">
        <f>'7 Calculation Check'!P24</f>
        <v>-</v>
      </c>
      <c r="G10" s="643" t="str">
        <f>'7 Calculation Check'!T24</f>
        <v>-</v>
      </c>
      <c r="H10" s="350" t="str">
        <f>IFERROR('6 Agg Analysis'!AP44,"")</f>
        <v/>
      </c>
      <c r="I10" s="315" t="s">
        <v>206</v>
      </c>
      <c r="J10" s="357" t="str">
        <f>'7 Calculation Check'!R29</f>
        <v>-</v>
      </c>
      <c r="K10" s="329" t="str">
        <f>'7 Calculation Check'!E14</f>
        <v>-</v>
      </c>
      <c r="L10" s="355" t="str">
        <f>'7 Calculation Check'!M29</f>
        <v>-</v>
      </c>
      <c r="P10" s="620">
        <f>'6 Agg Analysis'!AR37</f>
        <v>10993.5</v>
      </c>
      <c r="Q10" s="85" t="s">
        <v>451</v>
      </c>
      <c r="R10" s="573" t="s">
        <v>452</v>
      </c>
      <c r="S10" s="756" t="s">
        <v>204</v>
      </c>
      <c r="T10" s="1321"/>
    </row>
    <row r="11" spans="1:20" ht="16.2" thickBot="1" x14ac:dyDescent="0.35">
      <c r="A11" s="316" t="str">
        <f>'2 Aggregate System'!A17</f>
        <v>Fine B</v>
      </c>
      <c r="B11" s="1330" t="str">
        <f>IF('2 Aggregate System'!B17=0,"",'2 Aggregate System'!B17)</f>
        <v/>
      </c>
      <c r="C11" s="1331"/>
      <c r="D11" s="561"/>
      <c r="E11" s="604" t="str">
        <f>'7 Calculation Check'!R25</f>
        <v>-</v>
      </c>
      <c r="F11" s="192" t="str">
        <f>'7 Calculation Check'!P25</f>
        <v>-</v>
      </c>
      <c r="G11" s="644" t="str">
        <f>'7 Calculation Check'!T25</f>
        <v>-</v>
      </c>
      <c r="H11" s="352" t="str">
        <f>IFERROR('6 Agg Analysis'!AP45,"")</f>
        <v/>
      </c>
      <c r="I11" s="315" t="s">
        <v>208</v>
      </c>
      <c r="J11" s="357" t="str">
        <f>'7 Calculation Check'!R30</f>
        <v>-</v>
      </c>
      <c r="K11" s="329" t="str">
        <f>'7 Calculation Check'!E15</f>
        <v>-</v>
      </c>
      <c r="L11" s="355" t="str">
        <f>'7 Calculation Check'!M30</f>
        <v>-</v>
      </c>
      <c r="N11" s="652"/>
      <c r="P11" s="620" t="s">
        <v>392</v>
      </c>
      <c r="Q11" s="86" t="b">
        <v>0</v>
      </c>
      <c r="R11" s="87" t="b">
        <v>0</v>
      </c>
      <c r="S11" s="757">
        <f>'1 Certification'!H39</f>
        <v>0</v>
      </c>
      <c r="T11" s="88" t="str">
        <f>IF(AND(Q11=TRUE,'1 Certification'!G39&gt;0),"Remove Add. Cement",IF(AND(AND(Q11=FALSE,R11=FALSE),OR('1 Certification'!G39&gt;0,'1 Certification'!D39&gt;0,'1 Certification'!B39&gt;0)),"HES Modification?",IF(AND(Q11=FALSE,R11=FALSE),"-",IF(AND(Q11=TRUE,R11=TRUE),"Select One Option",IF(AND('1 Certification'!G39=0,R11=TRUE),"Enter Add. Cement",IF(AND(OR(Q11=TRUE,R11=TRUE),S11=0),"Placement Method?",IF(AND(R11=TRUE,'1 Certification'!G39&gt;=95,'1 Certification'!G39&lt;=280),"PASS",IF(Q11=TRUE,"PASS","FAIL"))))))))</f>
        <v>-</v>
      </c>
    </row>
    <row r="12" spans="1:20" ht="16.2" thickBot="1" x14ac:dyDescent="0.35">
      <c r="A12" s="1190" t="s">
        <v>402</v>
      </c>
      <c r="B12" s="1191"/>
      <c r="C12" s="1192"/>
      <c r="D12" s="534"/>
      <c r="E12" s="245"/>
      <c r="F12" s="245"/>
      <c r="G12" s="228"/>
      <c r="H12" s="349"/>
      <c r="I12" s="315" t="s">
        <v>75</v>
      </c>
      <c r="J12" s="357" t="e">
        <f>D14*D15</f>
        <v>#VALUE!</v>
      </c>
      <c r="K12" s="329">
        <f>'3 Paste Quality'!$G$46</f>
        <v>1</v>
      </c>
      <c r="L12" s="355" t="str">
        <f>IFERROR('7 Calculation Check'!M31,"")</f>
        <v>CM ERROR</v>
      </c>
      <c r="P12" s="653">
        <f>'6 Agg Analysis'!AN37</f>
        <v>200</v>
      </c>
    </row>
    <row r="13" spans="1:20" ht="16.2" thickBot="1" x14ac:dyDescent="0.35">
      <c r="A13" s="1190" t="s">
        <v>441</v>
      </c>
      <c r="B13" s="1191"/>
      <c r="C13" s="1192"/>
      <c r="D13" s="635">
        <f>D7+D8+D9+D10+D11</f>
        <v>0</v>
      </c>
      <c r="E13" s="558"/>
      <c r="F13" s="228"/>
      <c r="G13" s="349"/>
      <c r="H13" s="349"/>
      <c r="I13" s="316" t="s">
        <v>284</v>
      </c>
      <c r="J13" s="800" t="str">
        <f>IF(ISNUMBER('3 Paste Quality'!B33),'3 Paste Quality'!B33,"")</f>
        <v/>
      </c>
      <c r="K13" s="557"/>
      <c r="L13" s="361" t="str">
        <f>'7 Calculation Check'!M32</f>
        <v>AIR ?</v>
      </c>
      <c r="P13" s="620" t="s">
        <v>437</v>
      </c>
    </row>
    <row r="14" spans="1:20" ht="16.2" thickBot="1" x14ac:dyDescent="0.35">
      <c r="A14" s="1325" t="s">
        <v>70</v>
      </c>
      <c r="B14" s="1326"/>
      <c r="C14" s="1327"/>
      <c r="D14" s="560" t="str">
        <f>'7 Calculation Check'!F25</f>
        <v>W/CM ERROR</v>
      </c>
      <c r="I14" s="559" t="s">
        <v>80</v>
      </c>
      <c r="J14" s="363">
        <f>SUM(D7:D19)</f>
        <v>0</v>
      </c>
      <c r="K14" s="364"/>
      <c r="L14" s="365" t="str">
        <f>IF(AND(D7="",D8="",D9="",D10="",D11=""),"ENTER % WTS.",IF(OR('3 Paste Quality'!B31&lt;500,'3 Paste Quality'!B42&gt;30,'3 Paste Quality'!B31=0),"CM ERROR",SUM(G7:G11,L7:L13)))</f>
        <v>ENTER % WTS.</v>
      </c>
      <c r="P14" s="620">
        <f>'7 Calculation Check'!P51</f>
        <v>27.2</v>
      </c>
    </row>
    <row r="15" spans="1:20" ht="16.2" thickBot="1" x14ac:dyDescent="0.35">
      <c r="A15" s="1325" t="s">
        <v>254</v>
      </c>
      <c r="B15" s="1326"/>
      <c r="C15" s="1327"/>
      <c r="D15" s="562">
        <f>'7 Calculation Check'!J39</f>
        <v>0</v>
      </c>
      <c r="N15" s="783"/>
      <c r="P15" s="620" t="s">
        <v>440</v>
      </c>
    </row>
    <row r="16" spans="1:20" ht="16.2" thickBot="1" x14ac:dyDescent="0.35">
      <c r="A16" s="1325" t="s">
        <v>401</v>
      </c>
      <c r="B16" s="1326"/>
      <c r="C16" s="1327"/>
      <c r="D16" s="404">
        <f>'3 Paste Quality'!B33</f>
        <v>0</v>
      </c>
      <c r="N16" s="783"/>
      <c r="P16" s="620">
        <v>24</v>
      </c>
    </row>
    <row r="17" spans="5:16" x14ac:dyDescent="0.3">
      <c r="N17" s="783"/>
      <c r="P17" s="620" t="s">
        <v>439</v>
      </c>
    </row>
    <row r="18" spans="5:16" x14ac:dyDescent="0.3">
      <c r="N18" s="783"/>
      <c r="P18" s="620">
        <f>'7 Calculation Check'!Q58</f>
        <v>34</v>
      </c>
    </row>
    <row r="19" spans="5:16" x14ac:dyDescent="0.3">
      <c r="N19" s="783"/>
      <c r="P19" s="620" t="s">
        <v>438</v>
      </c>
    </row>
    <row r="20" spans="5:16" x14ac:dyDescent="0.3">
      <c r="I20" s="259"/>
      <c r="N20" s="784"/>
      <c r="P20" s="620">
        <v>2.2999999999999998</v>
      </c>
    </row>
    <row r="22" spans="5:16" x14ac:dyDescent="0.3">
      <c r="N22" s="259"/>
      <c r="O22" s="259"/>
    </row>
    <row r="23" spans="5:16" x14ac:dyDescent="0.3">
      <c r="N23" s="259"/>
      <c r="O23" s="259"/>
    </row>
    <row r="24" spans="5:16" x14ac:dyDescent="0.3">
      <c r="N24" s="360"/>
      <c r="O24" s="359"/>
    </row>
    <row r="25" spans="5:16" x14ac:dyDescent="0.3">
      <c r="N25" s="360"/>
      <c r="O25" s="359"/>
    </row>
    <row r="26" spans="5:16" ht="16.2" customHeight="1" x14ac:dyDescent="0.3">
      <c r="N26" s="259"/>
      <c r="O26" s="259"/>
    </row>
    <row r="27" spans="5:16" x14ac:dyDescent="0.3">
      <c r="N27" s="259"/>
      <c r="O27" s="259"/>
    </row>
    <row r="30" spans="5:16" x14ac:dyDescent="0.3">
      <c r="E30" s="259"/>
      <c r="F30" s="259"/>
      <c r="G30" s="259"/>
      <c r="H30" s="259"/>
      <c r="I30" s="259"/>
    </row>
    <row r="31" spans="5:16" x14ac:dyDescent="0.3">
      <c r="H31" s="341"/>
      <c r="I31" s="259"/>
    </row>
    <row r="32" spans="5:16" x14ac:dyDescent="0.3">
      <c r="H32" s="341"/>
      <c r="I32" s="259"/>
    </row>
    <row r="33" spans="1:10" x14ac:dyDescent="0.3">
      <c r="H33" s="341"/>
      <c r="I33" s="259"/>
    </row>
    <row r="35" spans="1:10" ht="16.2" thickBot="1" x14ac:dyDescent="0.35"/>
    <row r="36" spans="1:10" ht="16.2" thickBot="1" x14ac:dyDescent="0.35">
      <c r="A36" s="1051" t="s">
        <v>211</v>
      </c>
      <c r="B36" s="1074"/>
      <c r="C36" s="1074"/>
      <c r="D36" s="1074"/>
      <c r="E36" s="1074"/>
      <c r="F36" s="1074"/>
      <c r="G36" s="1074"/>
      <c r="H36" s="1074"/>
      <c r="I36" s="1052"/>
    </row>
    <row r="37" spans="1:10" ht="16.2" thickBot="1" x14ac:dyDescent="0.35">
      <c r="A37" s="1336" t="s">
        <v>204</v>
      </c>
      <c r="B37" s="1337"/>
      <c r="C37" s="395" t="s">
        <v>24</v>
      </c>
      <c r="D37" s="1174" t="s">
        <v>46</v>
      </c>
      <c r="E37" s="1174"/>
      <c r="F37" s="1173" t="s">
        <v>388</v>
      </c>
      <c r="G37" s="1164"/>
      <c r="H37" s="396" t="s">
        <v>48</v>
      </c>
      <c r="I37" s="544" t="s">
        <v>49</v>
      </c>
    </row>
    <row r="38" spans="1:10" x14ac:dyDescent="0.3">
      <c r="A38" s="1165" t="s">
        <v>205</v>
      </c>
      <c r="B38" s="1166"/>
      <c r="C38" s="1163" t="s">
        <v>29</v>
      </c>
      <c r="D38" s="1177" t="s">
        <v>50</v>
      </c>
      <c r="E38" s="1163"/>
      <c r="F38" s="1338">
        <f>'7 Calculation Check'!P58</f>
        <v>24</v>
      </c>
      <c r="G38" s="1201">
        <f>'7 Calculation Check'!Q58</f>
        <v>34</v>
      </c>
      <c r="H38" s="1197">
        <f>SUM('6 Agg Analysis'!AT17:AT20)</f>
        <v>0</v>
      </c>
      <c r="I38" s="1126" t="str">
        <f>IF(H38&lt;F38,"Fail",IF(H38&gt;G38,"Fail","Pass"))</f>
        <v>Fail</v>
      </c>
    </row>
    <row r="39" spans="1:10" ht="16.2" thickBot="1" x14ac:dyDescent="0.35">
      <c r="A39" s="1167"/>
      <c r="B39" s="1168"/>
      <c r="C39" s="1164"/>
      <c r="D39" s="1173"/>
      <c r="E39" s="1164"/>
      <c r="F39" s="1339"/>
      <c r="G39" s="1203"/>
      <c r="H39" s="1198"/>
      <c r="I39" s="1196"/>
    </row>
    <row r="40" spans="1:10" ht="16.2" thickBot="1" x14ac:dyDescent="0.35">
      <c r="A40" s="1169"/>
      <c r="B40" s="1170"/>
      <c r="C40" s="396" t="s">
        <v>28</v>
      </c>
      <c r="D40" s="1173" t="s">
        <v>51</v>
      </c>
      <c r="E40" s="1164"/>
      <c r="F40" s="1173" t="s">
        <v>52</v>
      </c>
      <c r="G40" s="1164"/>
      <c r="H40" s="401">
        <f>SUM('6 Agg Analysis'!AT15:AT17)</f>
        <v>0</v>
      </c>
      <c r="I40" s="400" t="str">
        <f>IF(H40&gt;15,"Pass","Fail")</f>
        <v>Fail</v>
      </c>
    </row>
    <row r="41" spans="1:10" ht="16.2" thickBot="1" x14ac:dyDescent="0.35">
      <c r="F41" s="1200" t="s">
        <v>272</v>
      </c>
      <c r="G41" s="1201"/>
      <c r="H41" s="403" t="s">
        <v>212</v>
      </c>
      <c r="I41" s="1183" t="str">
        <f>IF(H42&lt;=2.3,"Pass","Fail")</f>
        <v>Pass</v>
      </c>
    </row>
    <row r="42" spans="1:10" ht="16.2" thickBot="1" x14ac:dyDescent="0.35">
      <c r="A42" s="1091" t="s">
        <v>53</v>
      </c>
      <c r="B42" s="1092"/>
      <c r="C42" s="1092"/>
      <c r="D42" s="1193"/>
      <c r="F42" s="1202"/>
      <c r="G42" s="1203"/>
      <c r="H42" s="404">
        <f>'6 Agg Analysis'!AS20</f>
        <v>0</v>
      </c>
      <c r="I42" s="1184"/>
    </row>
    <row r="43" spans="1:10" ht="16.2" thickBot="1" x14ac:dyDescent="0.35">
      <c r="A43" s="1109" t="s">
        <v>54</v>
      </c>
      <c r="B43" s="1141" t="s">
        <v>55</v>
      </c>
      <c r="C43" s="1141" t="s">
        <v>160</v>
      </c>
      <c r="D43" s="1148" t="s">
        <v>49</v>
      </c>
    </row>
    <row r="44" spans="1:10" ht="16.2" thickBot="1" x14ac:dyDescent="0.35">
      <c r="A44" s="1144"/>
      <c r="B44" s="1199"/>
      <c r="C44" s="1199"/>
      <c r="D44" s="1149"/>
      <c r="F44" s="1340" t="s">
        <v>428</v>
      </c>
      <c r="G44" s="1341"/>
      <c r="H44" s="1341"/>
      <c r="I44" s="1341"/>
      <c r="J44" s="1342"/>
    </row>
    <row r="45" spans="1:10" ht="17.399999999999999" x14ac:dyDescent="0.3">
      <c r="A45" s="388" t="s">
        <v>33</v>
      </c>
      <c r="B45" s="389">
        <v>0</v>
      </c>
      <c r="C45" s="636" t="str">
        <f>'7 Calculation Check'!R5</f>
        <v>CM ERROR</v>
      </c>
      <c r="D45" s="639" t="str">
        <f>'7 Calculation Check'!S5</f>
        <v>-</v>
      </c>
      <c r="F45" s="625" t="s">
        <v>418</v>
      </c>
      <c r="G45" s="350">
        <f>'7 Calculation Check'!Q38</f>
        <v>0</v>
      </c>
      <c r="H45" s="621" t="s">
        <v>419</v>
      </c>
      <c r="I45" s="622" t="s">
        <v>269</v>
      </c>
      <c r="J45" s="621" t="str">
        <f>'7 Calculation Check'!Q49</f>
        <v>VOID CONT.?</v>
      </c>
    </row>
    <row r="46" spans="1:10" ht="18" thickBot="1" x14ac:dyDescent="0.35">
      <c r="A46" s="391" t="s">
        <v>34</v>
      </c>
      <c r="B46" s="392" t="s">
        <v>57</v>
      </c>
      <c r="C46" s="637" t="str">
        <f>'7 Calculation Check'!R6</f>
        <v>CM ERROR</v>
      </c>
      <c r="D46" s="640" t="str">
        <f>'7 Calculation Check'!S6</f>
        <v>-</v>
      </c>
      <c r="F46" s="625" t="s">
        <v>420</v>
      </c>
      <c r="G46" s="350">
        <f>'7 Calculation Check'!Q36</f>
        <v>0</v>
      </c>
      <c r="H46" s="621" t="s">
        <v>419</v>
      </c>
      <c r="I46" s="623" t="s">
        <v>427</v>
      </c>
      <c r="J46" s="624" t="str">
        <f>'7 Calculation Check'!R50</f>
        <v>CM ERROR</v>
      </c>
    </row>
    <row r="47" spans="1:10" ht="17.399999999999999" x14ac:dyDescent="0.3">
      <c r="A47" s="391" t="s">
        <v>35</v>
      </c>
      <c r="B47" s="392" t="s">
        <v>58</v>
      </c>
      <c r="C47" s="637" t="str">
        <f>'7 Calculation Check'!R7</f>
        <v>CM ERROR</v>
      </c>
      <c r="D47" s="640" t="str">
        <f>'7 Calculation Check'!S7</f>
        <v>-</v>
      </c>
      <c r="F47" s="625" t="s">
        <v>421</v>
      </c>
      <c r="G47" s="350">
        <f>'7 Calculation Check'!Q37</f>
        <v>0</v>
      </c>
      <c r="H47" s="621" t="s">
        <v>419</v>
      </c>
    </row>
    <row r="48" spans="1:10" ht="18" thickBot="1" x14ac:dyDescent="0.35">
      <c r="A48" s="391" t="s">
        <v>36</v>
      </c>
      <c r="B48" s="392" t="s">
        <v>59</v>
      </c>
      <c r="C48" s="637" t="str">
        <f>'7 Calculation Check'!R8</f>
        <v>CM ERROR</v>
      </c>
      <c r="D48" s="640" t="str">
        <f>'7 Calculation Check'!S8</f>
        <v>-</v>
      </c>
      <c r="F48" s="626" t="s">
        <v>422</v>
      </c>
      <c r="G48" s="352">
        <f>'7 Calculation Check'!Q39</f>
        <v>0</v>
      </c>
      <c r="H48" s="570" t="s">
        <v>419</v>
      </c>
    </row>
    <row r="49" spans="1:8" x14ac:dyDescent="0.3">
      <c r="A49" s="391" t="s">
        <v>37</v>
      </c>
      <c r="B49" s="392" t="s">
        <v>60</v>
      </c>
      <c r="C49" s="637" t="str">
        <f>'7 Calculation Check'!R9</f>
        <v>CM ERROR</v>
      </c>
      <c r="D49" s="640" t="str">
        <f>'7 Calculation Check'!S9</f>
        <v>-</v>
      </c>
      <c r="F49" s="625" t="s">
        <v>423</v>
      </c>
      <c r="G49" s="350" t="str">
        <f>'7 Calculation Check'!Q44</f>
        <v>CM ERROR</v>
      </c>
      <c r="H49" s="621" t="s">
        <v>32</v>
      </c>
    </row>
    <row r="50" spans="1:8" x14ac:dyDescent="0.3">
      <c r="A50" s="391" t="s">
        <v>38</v>
      </c>
      <c r="B50" s="392" t="s">
        <v>60</v>
      </c>
      <c r="C50" s="637" t="str">
        <f>'7 Calculation Check'!R10</f>
        <v>CM ERROR</v>
      </c>
      <c r="D50" s="640" t="str">
        <f>'7 Calculation Check'!S10</f>
        <v>-</v>
      </c>
      <c r="F50" s="625" t="s">
        <v>424</v>
      </c>
      <c r="G50" s="350" t="str">
        <f>'7 Calculation Check'!Q45</f>
        <v>CM ERROR</v>
      </c>
      <c r="H50" s="621" t="s">
        <v>32</v>
      </c>
    </row>
    <row r="51" spans="1:8" x14ac:dyDescent="0.3">
      <c r="A51" s="391" t="s">
        <v>39</v>
      </c>
      <c r="B51" s="392" t="s">
        <v>60</v>
      </c>
      <c r="C51" s="637" t="str">
        <f>'7 Calculation Check'!R11</f>
        <v>CM ERROR</v>
      </c>
      <c r="D51" s="640" t="str">
        <f>'7 Calculation Check'!S11</f>
        <v>-</v>
      </c>
      <c r="F51" s="625" t="s">
        <v>393</v>
      </c>
      <c r="G51" s="350" t="str">
        <f>'7 Calculation Check'!Q46</f>
        <v>CM ERROR</v>
      </c>
      <c r="H51" s="621" t="s">
        <v>32</v>
      </c>
    </row>
    <row r="52" spans="1:8" x14ac:dyDescent="0.3">
      <c r="A52" s="391" t="s">
        <v>40</v>
      </c>
      <c r="B52" s="392" t="s">
        <v>61</v>
      </c>
      <c r="C52" s="637" t="str">
        <f>'7 Calculation Check'!R12</f>
        <v>CM ERROR</v>
      </c>
      <c r="D52" s="640" t="str">
        <f>'7 Calculation Check'!S12</f>
        <v>-</v>
      </c>
      <c r="F52" s="625" t="s">
        <v>425</v>
      </c>
      <c r="G52" s="350" t="str">
        <f>'7 Calculation Check'!Q47</f>
        <v>AIR ?</v>
      </c>
      <c r="H52" s="621" t="s">
        <v>32</v>
      </c>
    </row>
    <row r="53" spans="1:8" ht="16.2" thickBot="1" x14ac:dyDescent="0.35">
      <c r="A53" s="391" t="s">
        <v>41</v>
      </c>
      <c r="B53" s="392" t="s">
        <v>61</v>
      </c>
      <c r="C53" s="637" t="str">
        <f>'7 Calculation Check'!R13</f>
        <v>CM ERROR</v>
      </c>
      <c r="D53" s="640" t="str">
        <f>'7 Calculation Check'!S13</f>
        <v>-</v>
      </c>
      <c r="F53" s="626" t="s">
        <v>426</v>
      </c>
      <c r="G53" s="352" t="str">
        <f>'7 Calculation Check'!Q48</f>
        <v>CM ERROR</v>
      </c>
      <c r="H53" s="570" t="s">
        <v>32</v>
      </c>
    </row>
    <row r="54" spans="1:8" x14ac:dyDescent="0.3">
      <c r="A54" s="391" t="s">
        <v>42</v>
      </c>
      <c r="B54" s="392" t="s">
        <v>60</v>
      </c>
      <c r="C54" s="637" t="str">
        <f>'7 Calculation Check'!R14</f>
        <v>CM ERROR</v>
      </c>
      <c r="D54" s="640" t="str">
        <f>'7 Calculation Check'!S14</f>
        <v>-</v>
      </c>
      <c r="H54" s="620"/>
    </row>
    <row r="55" spans="1:8" x14ac:dyDescent="0.3">
      <c r="A55" s="391" t="s">
        <v>43</v>
      </c>
      <c r="B55" s="392" t="s">
        <v>60</v>
      </c>
      <c r="C55" s="637" t="str">
        <f>'7 Calculation Check'!R15</f>
        <v>CM ERROR</v>
      </c>
      <c r="D55" s="640" t="str">
        <f>'7 Calculation Check'!S15</f>
        <v>-</v>
      </c>
      <c r="H55" s="620"/>
    </row>
    <row r="56" spans="1:8" ht="16.2" customHeight="1" x14ac:dyDescent="0.3">
      <c r="A56" s="391" t="s">
        <v>44</v>
      </c>
      <c r="B56" s="392" t="s">
        <v>62</v>
      </c>
      <c r="C56" s="637" t="str">
        <f>'7 Calculation Check'!R16</f>
        <v>CM ERROR</v>
      </c>
      <c r="D56" s="640" t="str">
        <f>'7 Calculation Check'!S16</f>
        <v>-</v>
      </c>
    </row>
    <row r="57" spans="1:8" ht="16.2" customHeight="1" thickBot="1" x14ac:dyDescent="0.35">
      <c r="A57" s="397" t="s">
        <v>45</v>
      </c>
      <c r="B57" s="398" t="s">
        <v>173</v>
      </c>
      <c r="C57" s="638" t="str">
        <f>'7 Calculation Check'!R17</f>
        <v>CM ERROR</v>
      </c>
      <c r="D57" s="641" t="str">
        <f>'7 Calculation Check'!S17</f>
        <v>-</v>
      </c>
      <c r="F57" s="620"/>
      <c r="G57" s="620"/>
      <c r="H57" s="620"/>
    </row>
    <row r="58" spans="1:8" ht="16.2" customHeight="1" thickBot="1" x14ac:dyDescent="0.35">
      <c r="A58" s="1051" t="s">
        <v>232</v>
      </c>
      <c r="B58" s="1185"/>
      <c r="C58" s="402" t="e">
        <f>'6 Agg Analysis'!AY20</f>
        <v>#DIV/0!</v>
      </c>
    </row>
  </sheetData>
  <sheetProtection selectLockedCells="1"/>
  <mergeCells count="49">
    <mergeCell ref="B43:B44"/>
    <mergeCell ref="C43:C44"/>
    <mergeCell ref="D43:D44"/>
    <mergeCell ref="A36:I36"/>
    <mergeCell ref="A37:B37"/>
    <mergeCell ref="D37:E37"/>
    <mergeCell ref="F37:G37"/>
    <mergeCell ref="F38:F39"/>
    <mergeCell ref="G38:G39"/>
    <mergeCell ref="A42:D42"/>
    <mergeCell ref="F44:J44"/>
    <mergeCell ref="A58:B58"/>
    <mergeCell ref="F41:G42"/>
    <mergeCell ref="I41:I42"/>
    <mergeCell ref="A1:D1"/>
    <mergeCell ref="E1:G1"/>
    <mergeCell ref="A12:C12"/>
    <mergeCell ref="E5:E6"/>
    <mergeCell ref="A13:C13"/>
    <mergeCell ref="A38:B40"/>
    <mergeCell ref="C38:C39"/>
    <mergeCell ref="D38:E39"/>
    <mergeCell ref="H38:H39"/>
    <mergeCell ref="I38:I39"/>
    <mergeCell ref="D40:E40"/>
    <mergeCell ref="F40:G40"/>
    <mergeCell ref="A43:A44"/>
    <mergeCell ref="A16:C16"/>
    <mergeCell ref="A14:C14"/>
    <mergeCell ref="A15:C15"/>
    <mergeCell ref="K5:K6"/>
    <mergeCell ref="L5:L6"/>
    <mergeCell ref="A5:A6"/>
    <mergeCell ref="B5:C6"/>
    <mergeCell ref="D5:D6"/>
    <mergeCell ref="F5:F6"/>
    <mergeCell ref="G5:G6"/>
    <mergeCell ref="H5:H6"/>
    <mergeCell ref="J5:J6"/>
    <mergeCell ref="B11:C11"/>
    <mergeCell ref="B7:C7"/>
    <mergeCell ref="B8:C8"/>
    <mergeCell ref="B9:C9"/>
    <mergeCell ref="B10:C10"/>
    <mergeCell ref="T9:T10"/>
    <mergeCell ref="I5:I6"/>
    <mergeCell ref="A4:L4"/>
    <mergeCell ref="Q9:S9"/>
    <mergeCell ref="Q8:T8"/>
  </mergeCells>
  <conditionalFormatting sqref="A38:B40">
    <cfRule type="cellIs" dxfId="39" priority="54" operator="equal">
      <formula>0</formula>
    </cfRule>
    <cfRule type="cellIs" dxfId="38" priority="53" operator="notEqual">
      <formula>0</formula>
    </cfRule>
  </conditionalFormatting>
  <conditionalFormatting sqref="C45:C57">
    <cfRule type="cellIs" dxfId="37" priority="41" operator="equal">
      <formula>"CM ERROR"</formula>
    </cfRule>
  </conditionalFormatting>
  <conditionalFormatting sqref="C45:D57">
    <cfRule type="cellIs" dxfId="36" priority="38" operator="equal">
      <formula>"ERROR: vp/vv"</formula>
    </cfRule>
  </conditionalFormatting>
  <conditionalFormatting sqref="D13">
    <cfRule type="cellIs" dxfId="35" priority="8" operator="notEqual">
      <formula>100</formula>
    </cfRule>
    <cfRule type="cellIs" dxfId="34" priority="9" operator="equal">
      <formula>100</formula>
    </cfRule>
  </conditionalFormatting>
  <conditionalFormatting sqref="D45:D57">
    <cfRule type="containsText" dxfId="33" priority="60" operator="containsText" text="Pass">
      <formula>NOT(ISERROR(SEARCH("Pass",D45)))</formula>
    </cfRule>
    <cfRule type="cellIs" dxfId="32" priority="42" operator="equal">
      <formula>"CM ERROR"</formula>
    </cfRule>
    <cfRule type="containsText" dxfId="31" priority="59" stopIfTrue="1" operator="containsText" text="Fail">
      <formula>NOT(ISERROR(SEARCH("Fail",D45)))</formula>
    </cfRule>
    <cfRule type="cellIs" dxfId="30" priority="20" operator="equal">
      <formula>"AIR ?"</formula>
    </cfRule>
    <cfRule type="cellIs" dxfId="29" priority="21" operator="equal">
      <formula>"W/CM ERROR"</formula>
    </cfRule>
    <cfRule type="cellIs" dxfId="28" priority="22" operator="equal">
      <formula>"AGG. ERROR"</formula>
    </cfRule>
  </conditionalFormatting>
  <conditionalFormatting sqref="F7:F11 E13">
    <cfRule type="cellIs" dxfId="27" priority="12" operator="equal">
      <formula>"GRAD. ?"</formula>
    </cfRule>
    <cfRule type="cellIs" dxfId="26" priority="13" operator="equal">
      <formula>"ENTER WTS."</formula>
    </cfRule>
    <cfRule type="cellIs" dxfId="25" priority="30" operator="equal">
      <formula>"SG?"</formula>
    </cfRule>
  </conditionalFormatting>
  <conditionalFormatting sqref="F38:G39">
    <cfRule type="cellIs" dxfId="24" priority="11" operator="equal">
      <formula>"ERROR"</formula>
    </cfRule>
  </conditionalFormatting>
  <conditionalFormatting sqref="G49:G53">
    <cfRule type="cellIs" dxfId="23" priority="4" operator="equal">
      <formula>"CM ERROR"</formula>
    </cfRule>
  </conditionalFormatting>
  <conditionalFormatting sqref="G53">
    <cfRule type="cellIs" dxfId="22" priority="1" operator="equal">
      <formula>"VOID CONT.?"</formula>
    </cfRule>
  </conditionalFormatting>
  <conditionalFormatting sqref="H42">
    <cfRule type="cellIs" dxfId="21" priority="35" operator="equal">
      <formula>"ERROR"</formula>
    </cfRule>
  </conditionalFormatting>
  <conditionalFormatting sqref="H38:I40">
    <cfRule type="cellIs" dxfId="20" priority="49" operator="equal">
      <formula>"ERROR"</formula>
    </cfRule>
  </conditionalFormatting>
  <conditionalFormatting sqref="I38">
    <cfRule type="containsText" dxfId="19" priority="55" stopIfTrue="1" operator="containsText" text="Fail">
      <formula>NOT(ISERROR(SEARCH("Fail",I38)))</formula>
    </cfRule>
    <cfRule type="containsText" dxfId="18" priority="56" operator="containsText" text="Pass">
      <formula>NOT(ISERROR(SEARCH("Pass",I38)))</formula>
    </cfRule>
  </conditionalFormatting>
  <conditionalFormatting sqref="I40">
    <cfRule type="containsText" dxfId="17" priority="57" stopIfTrue="1" operator="containsText" text="Fail">
      <formula>NOT(ISERROR(SEARCH("Fail",I40)))</formula>
    </cfRule>
    <cfRule type="containsText" dxfId="16" priority="58" operator="containsText" text="Pass">
      <formula>NOT(ISERROR(SEARCH("Pass",I40)))</formula>
    </cfRule>
  </conditionalFormatting>
  <conditionalFormatting sqref="I41">
    <cfRule type="cellIs" dxfId="15" priority="36" operator="notEqual">
      <formula>"Pass"</formula>
    </cfRule>
    <cfRule type="cellIs" dxfId="14" priority="37" operator="equal">
      <formula>"Pass"</formula>
    </cfRule>
  </conditionalFormatting>
  <conditionalFormatting sqref="J7:J11">
    <cfRule type="cellIs" priority="44" operator="notEqual">
      <formula>"ERROR"</formula>
    </cfRule>
    <cfRule type="cellIs" dxfId="13" priority="45" operator="equal">
      <formula>"CM ERROR"</formula>
    </cfRule>
  </conditionalFormatting>
  <conditionalFormatting sqref="J45:J46">
    <cfRule type="cellIs" dxfId="12" priority="2" operator="equal">
      <formula>"VOID CONT.?"</formula>
    </cfRule>
  </conditionalFormatting>
  <conditionalFormatting sqref="J46">
    <cfRule type="cellIs" dxfId="11" priority="5" operator="equal">
      <formula>"CM ERROR"</formula>
    </cfRule>
    <cfRule type="cellIs" dxfId="10" priority="7" operator="lessThan">
      <formula>1.25</formula>
    </cfRule>
  </conditionalFormatting>
  <conditionalFormatting sqref="K7:K11">
    <cfRule type="cellIs" dxfId="9" priority="31" operator="equal">
      <formula>"CM ERROR"</formula>
    </cfRule>
  </conditionalFormatting>
  <conditionalFormatting sqref="K8:K11">
    <cfRule type="cellIs" dxfId="8" priority="15" operator="equal">
      <formula>"SG?"</formula>
    </cfRule>
  </conditionalFormatting>
  <conditionalFormatting sqref="K7:L11">
    <cfRule type="cellIs" dxfId="7" priority="34" operator="equal">
      <formula>"ERROR: &gt;30%"</formula>
    </cfRule>
  </conditionalFormatting>
  <conditionalFormatting sqref="L7:L11">
    <cfRule type="cellIs" dxfId="6" priority="40" operator="equal">
      <formula>"CM ERROR"</formula>
    </cfRule>
  </conditionalFormatting>
  <conditionalFormatting sqref="L12">
    <cfRule type="cellIs" dxfId="5" priority="33" operator="equal">
      <formula>"CM ERROR"</formula>
    </cfRule>
  </conditionalFormatting>
  <conditionalFormatting sqref="L13">
    <cfRule type="cellIs" dxfId="4" priority="26" operator="equal">
      <formula>"AIR ?"</formula>
    </cfRule>
  </conditionalFormatting>
  <conditionalFormatting sqref="L14">
    <cfRule type="cellIs" dxfId="3" priority="39" operator="equal">
      <formula>"CM ERROR"</formula>
    </cfRule>
    <cfRule type="cellIs" dxfId="2" priority="46" operator="between">
      <formula>27.15</formula>
      <formula>27.25</formula>
    </cfRule>
    <cfRule type="cellIs" dxfId="1" priority="47" operator="notBetween">
      <formula>27.15</formula>
      <formula>27.25</formula>
    </cfRule>
    <cfRule type="cellIs" dxfId="0" priority="14" operator="equal">
      <formula>"ENTER % WTS."</formula>
    </cfRule>
  </conditionalFormatting>
  <printOptions horizontalCentered="1" verticalCentered="1"/>
  <pageMargins left="0.25" right="0.25" top="0.75" bottom="0.75" header="0.3" footer="0.3"/>
  <pageSetup scale="52" fitToWidth="0" fitToHeight="0" orientation="landscape" verticalDpi="1200" r:id="rId1"/>
  <headerFooter>
    <oddFooter>&amp;L&amp;9&amp;A&amp;C&amp;9&amp;P of &amp;N&amp;R&amp;9&amp;F</oddFooter>
  </headerFooter>
  <drawing r:id="rId2"/>
  <legacyDrawing r:id="rId3"/>
  <extLst>
    <ext xmlns:x14="http://schemas.microsoft.com/office/spreadsheetml/2009/9/main" uri="{CCE6A557-97BC-4b89-ADB6-D9C93CAAB3DF}">
      <x14:dataValidations xmlns:xm="http://schemas.microsoft.com/office/excel/2006/main" disablePrompts="1" count="1">
        <x14:dataValidation type="list" errorStyle="warning" showInputMessage="1" showErrorMessage="1" errorTitle="WARNING" error="Please use drop down menu to fill in the cell." xr:uid="{7873BC51-E93E-4FF0-A918-1A7C0AB00070}">
          <x14:formula1>
            <xm:f>'6 Agg Analysis'!$AG$42:$AG$46</xm:f>
          </x14:formula1>
          <xm:sqref>A38:B40</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2A4E8-B53C-4611-B693-E7F1D5BE2C9B}">
  <dimension ref="A1:Z144"/>
  <sheetViews>
    <sheetView showGridLines="0" zoomScale="90" zoomScaleNormal="90" zoomScaleSheetLayoutView="85" workbookViewId="0">
      <selection activeCell="E4" sqref="E4"/>
    </sheetView>
  </sheetViews>
  <sheetFormatPr defaultColWidth="9.33203125" defaultRowHeight="15.6" x14ac:dyDescent="0.3"/>
  <cols>
    <col min="1" max="1" width="16.5546875" style="405" customWidth="1"/>
    <col min="2" max="2" width="10.6640625" style="405" customWidth="1"/>
    <col min="3" max="12" width="13.5546875" style="405" customWidth="1"/>
    <col min="13" max="17" width="13.6640625" style="405" customWidth="1"/>
    <col min="18" max="19" width="12.6640625" style="405" bestFit="1" customWidth="1"/>
    <col min="20" max="20" width="14" style="405" customWidth="1"/>
    <col min="21" max="21" width="11.6640625" style="405" customWidth="1"/>
    <col min="22" max="22" width="9.33203125" style="405" bestFit="1" customWidth="1"/>
    <col min="23" max="23" width="11.5546875" style="405" customWidth="1"/>
    <col min="24" max="24" width="9.33203125" style="405"/>
    <col min="25" max="26" width="9.33203125" style="405" bestFit="1" customWidth="1"/>
    <col min="27" max="16384" width="9.33203125" style="405"/>
  </cols>
  <sheetData>
    <row r="1" spans="1:21" ht="16.2" thickBot="1" x14ac:dyDescent="0.35">
      <c r="A1" s="1332" t="s">
        <v>378</v>
      </c>
      <c r="B1" s="1333"/>
      <c r="C1" s="1333"/>
      <c r="D1" s="1333"/>
      <c r="E1" s="1333"/>
      <c r="F1" s="1333"/>
      <c r="G1" s="1334" t="s">
        <v>365</v>
      </c>
      <c r="H1" s="1334"/>
      <c r="I1" s="1335"/>
    </row>
    <row r="2" spans="1:21" ht="16.2" thickBot="1" x14ac:dyDescent="0.35">
      <c r="A2" s="499" t="str">
        <f>Directions!A2</f>
        <v>DT2221     08/2022</v>
      </c>
      <c r="B2" s="495"/>
      <c r="C2" s="496"/>
      <c r="D2" s="496"/>
      <c r="E2" s="496"/>
      <c r="F2" s="496"/>
      <c r="G2" s="496"/>
      <c r="H2" s="496"/>
    </row>
    <row r="3" spans="1:21" ht="15.6" customHeight="1" thickBot="1" x14ac:dyDescent="0.35">
      <c r="D3" s="406"/>
      <c r="E3" s="406"/>
      <c r="G3" s="1354" t="s">
        <v>152</v>
      </c>
      <c r="H3" s="1355"/>
      <c r="I3" s="1355"/>
      <c r="J3" s="1356"/>
      <c r="K3" s="406"/>
      <c r="L3" s="406"/>
      <c r="M3" s="406"/>
      <c r="N3" s="406"/>
      <c r="O3" s="406"/>
      <c r="P3" s="406"/>
      <c r="Q3" s="406"/>
      <c r="R3" s="406"/>
      <c r="S3" s="406"/>
      <c r="T3" s="407"/>
    </row>
    <row r="4" spans="1:21" ht="15.6" customHeight="1" x14ac:dyDescent="0.3">
      <c r="A4" s="408"/>
      <c r="B4" s="1357"/>
      <c r="C4" s="1357"/>
      <c r="G4" s="409" t="s">
        <v>153</v>
      </c>
      <c r="H4" s="410"/>
      <c r="I4" s="410"/>
      <c r="J4" s="411" t="e">
        <f>SUM(N32:N37)/SUM(N32:N39)*100</f>
        <v>#VALUE!</v>
      </c>
      <c r="N4" s="406"/>
      <c r="O4" s="406"/>
      <c r="P4" s="406"/>
      <c r="Q4" s="406"/>
      <c r="R4" s="406"/>
      <c r="T4" s="407"/>
      <c r="U4" s="407"/>
    </row>
    <row r="5" spans="1:21" ht="15.6" customHeight="1" x14ac:dyDescent="0.3">
      <c r="A5" s="412"/>
      <c r="B5" s="1358" t="str">
        <f>Directions!N8</f>
        <v>Version 2.1</v>
      </c>
      <c r="C5" s="1358"/>
      <c r="G5" s="413" t="s">
        <v>149</v>
      </c>
      <c r="J5" s="414" t="e">
        <f>M39</f>
        <v>#VALUE!</v>
      </c>
      <c r="Q5" s="406"/>
      <c r="S5" s="406"/>
    </row>
    <row r="6" spans="1:21" ht="15.6" customHeight="1" x14ac:dyDescent="0.3">
      <c r="A6" s="415"/>
      <c r="B6" s="1361" t="s">
        <v>224</v>
      </c>
      <c r="C6" s="1361"/>
      <c r="D6" s="1361"/>
      <c r="E6" s="1361"/>
      <c r="G6" s="413" t="s">
        <v>150</v>
      </c>
      <c r="J6" s="414">
        <f>IF('3 Paste Quality'!B31&lt;565,0,('3 Paste Quality'!B31-565)/94)*2.5</f>
        <v>0</v>
      </c>
    </row>
    <row r="7" spans="1:21" ht="16.2" thickBot="1" x14ac:dyDescent="0.35">
      <c r="A7" s="412"/>
      <c r="B7" s="1361"/>
      <c r="C7" s="1361"/>
      <c r="D7" s="1361"/>
      <c r="E7" s="1361"/>
      <c r="F7" s="416"/>
      <c r="G7" s="417" t="s">
        <v>151</v>
      </c>
      <c r="H7" s="418"/>
      <c r="I7" s="419"/>
      <c r="J7" s="420" t="e">
        <f>J6+J5</f>
        <v>#VALUE!</v>
      </c>
    </row>
    <row r="8" spans="1:21" x14ac:dyDescent="0.3">
      <c r="A8" s="421"/>
      <c r="B8" s="1361"/>
      <c r="C8" s="1361"/>
      <c r="D8" s="1361"/>
      <c r="E8" s="1361"/>
      <c r="G8" s="422"/>
    </row>
    <row r="9" spans="1:21" x14ac:dyDescent="0.3">
      <c r="A9" s="423"/>
      <c r="B9" s="421"/>
      <c r="C9" s="424"/>
      <c r="G9" s="422"/>
    </row>
    <row r="26" spans="2:14" ht="16.2" thickBot="1" x14ac:dyDescent="0.35"/>
    <row r="27" spans="2:14" ht="16.2" thickBot="1" x14ac:dyDescent="0.35">
      <c r="G27" s="1351" t="s">
        <v>245</v>
      </c>
      <c r="H27" s="1352"/>
      <c r="I27" s="1352"/>
      <c r="J27" s="1352"/>
      <c r="K27" s="1352"/>
      <c r="L27" s="1352"/>
      <c r="M27" s="1352"/>
      <c r="N27" s="1353"/>
    </row>
    <row r="28" spans="2:14" ht="16.2" thickBot="1" x14ac:dyDescent="0.35">
      <c r="G28" s="427"/>
      <c r="H28" s="1359" t="s">
        <v>212</v>
      </c>
      <c r="I28" s="1360"/>
      <c r="J28" s="1360"/>
      <c r="K28" s="1360"/>
      <c r="L28" s="1360"/>
      <c r="M28" s="1349" t="s">
        <v>215</v>
      </c>
      <c r="N28" s="1350"/>
    </row>
    <row r="29" spans="2:14" x14ac:dyDescent="0.3">
      <c r="G29" s="428" t="s">
        <v>30</v>
      </c>
      <c r="H29" s="429" t="s">
        <v>158</v>
      </c>
      <c r="I29" s="430" t="s">
        <v>159</v>
      </c>
      <c r="J29" s="429" t="s">
        <v>176</v>
      </c>
      <c r="K29" s="430" t="s">
        <v>177</v>
      </c>
      <c r="L29" s="429" t="s">
        <v>178</v>
      </c>
      <c r="M29" s="1343" t="s">
        <v>213</v>
      </c>
      <c r="N29" s="1346" t="s">
        <v>214</v>
      </c>
    </row>
    <row r="30" spans="2:14" x14ac:dyDescent="0.3">
      <c r="B30" s="425"/>
      <c r="C30" s="426"/>
      <c r="G30" s="431" t="s">
        <v>170</v>
      </c>
      <c r="H30" s="153" t="str">
        <f>IF('2 Aggregate System'!B13="","",'2 Aggregate System'!B13)</f>
        <v/>
      </c>
      <c r="I30" s="154" t="str">
        <f>IF('2 Aggregate System'!B14="","",'2 Aggregate System'!B14)</f>
        <v/>
      </c>
      <c r="J30" s="153" t="str">
        <f>IF('2 Aggregate System'!B15="","",'2 Aggregate System'!B15)</f>
        <v/>
      </c>
      <c r="K30" s="154" t="str">
        <f>IF('2 Aggregate System'!B16="","",'2 Aggregate System'!B16)</f>
        <v/>
      </c>
      <c r="L30" s="153" t="str">
        <f>IF('2 Aggregate System'!B17="","",'2 Aggregate System'!B17)</f>
        <v/>
      </c>
      <c r="M30" s="1344"/>
      <c r="N30" s="1347"/>
    </row>
    <row r="31" spans="2:14" ht="16.2" thickBot="1" x14ac:dyDescent="0.35">
      <c r="C31" s="426"/>
      <c r="G31" s="432" t="s">
        <v>243</v>
      </c>
      <c r="H31" s="433" t="e">
        <f>IF('6 Agg Analysis'!AE34=0,0,'6 Agg Analysis'!AE34)</f>
        <v>#DIV/0!</v>
      </c>
      <c r="I31" s="434" t="e">
        <f>IF('6 Agg Analysis'!AE35=0,0,'6 Agg Analysis'!AE35)</f>
        <v>#DIV/0!</v>
      </c>
      <c r="J31" s="433" t="e">
        <f>IF('6 Agg Analysis'!AE36=0,0,'6 Agg Analysis'!AE36)</f>
        <v>#DIV/0!</v>
      </c>
      <c r="K31" s="434" t="e">
        <f>IF('6 Agg Analysis'!AE37=0,0,'6 Agg Analysis'!AE37)</f>
        <v>#DIV/0!</v>
      </c>
      <c r="L31" s="433" t="e">
        <f>IF('6 Agg Analysis'!AE38=0,0,'6 Agg Analysis'!AE38)</f>
        <v>#DIV/0!</v>
      </c>
      <c r="M31" s="1345"/>
      <c r="N31" s="1348"/>
    </row>
    <row r="32" spans="2:14" x14ac:dyDescent="0.3">
      <c r="G32" s="76" t="s">
        <v>33</v>
      </c>
      <c r="H32" s="435" t="e">
        <f>'4 Mix Design'!$I$14*'2 Aggregate System'!B26/100</f>
        <v>#VALUE!</v>
      </c>
      <c r="I32" s="436" t="e">
        <f>'4 Mix Design'!$I$15*'2 Aggregate System'!C26/100</f>
        <v>#VALUE!</v>
      </c>
      <c r="J32" s="435" t="e">
        <f>'4 Mix Design'!$I$16*'2 Aggregate System'!D26/100</f>
        <v>#VALUE!</v>
      </c>
      <c r="K32" s="436" t="e">
        <f>'4 Mix Design'!$I$17*'2 Aggregate System'!E26/100</f>
        <v>#VALUE!</v>
      </c>
      <c r="L32" s="435" t="e">
        <f>'4 Mix Design'!$I$18*'2 Aggregate System'!F26/100</f>
        <v>#VALUE!</v>
      </c>
      <c r="M32" s="437" t="e">
        <f>SUM(H32:L32)</f>
        <v>#VALUE!</v>
      </c>
      <c r="N32" s="438" t="e">
        <f>100-M32</f>
        <v>#VALUE!</v>
      </c>
    </row>
    <row r="33" spans="7:14" x14ac:dyDescent="0.3">
      <c r="G33" s="77" t="s">
        <v>34</v>
      </c>
      <c r="H33" s="439" t="e">
        <f>'4 Mix Design'!$I$14*'2 Aggregate System'!B27/100</f>
        <v>#VALUE!</v>
      </c>
      <c r="I33" s="440" t="e">
        <f>'4 Mix Design'!$I$15*'2 Aggregate System'!C27/100</f>
        <v>#VALUE!</v>
      </c>
      <c r="J33" s="439" t="e">
        <f>'4 Mix Design'!$I$16*'2 Aggregate System'!D27/100</f>
        <v>#VALUE!</v>
      </c>
      <c r="K33" s="440" t="e">
        <f>'4 Mix Design'!$I$17*'2 Aggregate System'!E27/100</f>
        <v>#VALUE!</v>
      </c>
      <c r="L33" s="439" t="e">
        <f>'4 Mix Design'!$I$18*'2 Aggregate System'!F27/100</f>
        <v>#VALUE!</v>
      </c>
      <c r="M33" s="441" t="e">
        <f t="shared" ref="M33:M44" si="0">SUM(H33:L33)</f>
        <v>#VALUE!</v>
      </c>
      <c r="N33" s="442" t="e">
        <f>100-M33</f>
        <v>#VALUE!</v>
      </c>
    </row>
    <row r="34" spans="7:14" x14ac:dyDescent="0.3">
      <c r="G34" s="77" t="s">
        <v>35</v>
      </c>
      <c r="H34" s="439" t="e">
        <f>'4 Mix Design'!$I$14*'2 Aggregate System'!B28/100</f>
        <v>#VALUE!</v>
      </c>
      <c r="I34" s="440" t="e">
        <f>'4 Mix Design'!$I$15*'2 Aggregate System'!C28/100</f>
        <v>#VALUE!</v>
      </c>
      <c r="J34" s="439" t="e">
        <f>'4 Mix Design'!$I$16*'2 Aggregate System'!D28/100</f>
        <v>#VALUE!</v>
      </c>
      <c r="K34" s="440" t="e">
        <f>'4 Mix Design'!$I$17*'2 Aggregate System'!E28/100</f>
        <v>#VALUE!</v>
      </c>
      <c r="L34" s="439" t="e">
        <f>'4 Mix Design'!$I$18*'2 Aggregate System'!F28/100</f>
        <v>#VALUE!</v>
      </c>
      <c r="M34" s="441" t="e">
        <f t="shared" si="0"/>
        <v>#VALUE!</v>
      </c>
      <c r="N34" s="442" t="e">
        <f t="shared" ref="N34:N44" si="1">100-M34</f>
        <v>#VALUE!</v>
      </c>
    </row>
    <row r="35" spans="7:14" x14ac:dyDescent="0.3">
      <c r="G35" s="77" t="s">
        <v>36</v>
      </c>
      <c r="H35" s="439" t="e">
        <f>'4 Mix Design'!$I$14*'2 Aggregate System'!B29/100</f>
        <v>#VALUE!</v>
      </c>
      <c r="I35" s="440" t="e">
        <f>'4 Mix Design'!$I$15*'2 Aggregate System'!C29/100</f>
        <v>#VALUE!</v>
      </c>
      <c r="J35" s="439" t="e">
        <f>'4 Mix Design'!$I$16*'2 Aggregate System'!D29/100</f>
        <v>#VALUE!</v>
      </c>
      <c r="K35" s="440" t="e">
        <f>'4 Mix Design'!$I$17*'2 Aggregate System'!E29/100</f>
        <v>#VALUE!</v>
      </c>
      <c r="L35" s="439" t="e">
        <f>'4 Mix Design'!$I$18*'2 Aggregate System'!F29/100</f>
        <v>#VALUE!</v>
      </c>
      <c r="M35" s="441" t="e">
        <f t="shared" si="0"/>
        <v>#VALUE!</v>
      </c>
      <c r="N35" s="442" t="e">
        <f t="shared" si="1"/>
        <v>#VALUE!</v>
      </c>
    </row>
    <row r="36" spans="7:14" x14ac:dyDescent="0.3">
      <c r="G36" s="77" t="s">
        <v>37</v>
      </c>
      <c r="H36" s="439" t="e">
        <f>'4 Mix Design'!$I$14*'2 Aggregate System'!B30/100</f>
        <v>#VALUE!</v>
      </c>
      <c r="I36" s="440" t="e">
        <f>'4 Mix Design'!$I$15*'2 Aggregate System'!C30/100</f>
        <v>#VALUE!</v>
      </c>
      <c r="J36" s="439" t="e">
        <f>'4 Mix Design'!$I$16*'2 Aggregate System'!D30/100</f>
        <v>#VALUE!</v>
      </c>
      <c r="K36" s="440" t="e">
        <f>'4 Mix Design'!$I$17*'2 Aggregate System'!E30/100</f>
        <v>#VALUE!</v>
      </c>
      <c r="L36" s="439" t="e">
        <f>'4 Mix Design'!$I$18*'2 Aggregate System'!F30/100</f>
        <v>#VALUE!</v>
      </c>
      <c r="M36" s="441" t="e">
        <f t="shared" si="0"/>
        <v>#VALUE!</v>
      </c>
      <c r="N36" s="442" t="e">
        <f t="shared" si="1"/>
        <v>#VALUE!</v>
      </c>
    </row>
    <row r="37" spans="7:14" x14ac:dyDescent="0.3">
      <c r="G37" s="77" t="s">
        <v>38</v>
      </c>
      <c r="H37" s="439" t="e">
        <f>'4 Mix Design'!$I$14*'2 Aggregate System'!B31/100</f>
        <v>#VALUE!</v>
      </c>
      <c r="I37" s="440" t="e">
        <f>'4 Mix Design'!$I$15*'2 Aggregate System'!C31/100</f>
        <v>#VALUE!</v>
      </c>
      <c r="J37" s="439" t="e">
        <f>'4 Mix Design'!$I$16*'2 Aggregate System'!D31/100</f>
        <v>#VALUE!</v>
      </c>
      <c r="K37" s="440" t="e">
        <f>'4 Mix Design'!$I$17*'2 Aggregate System'!E31/100</f>
        <v>#VALUE!</v>
      </c>
      <c r="L37" s="439" t="e">
        <f>'4 Mix Design'!$I$18*'2 Aggregate System'!F31/100</f>
        <v>#VALUE!</v>
      </c>
      <c r="M37" s="441" t="e">
        <f t="shared" si="0"/>
        <v>#VALUE!</v>
      </c>
      <c r="N37" s="442" t="e">
        <f t="shared" si="1"/>
        <v>#VALUE!</v>
      </c>
    </row>
    <row r="38" spans="7:14" x14ac:dyDescent="0.3">
      <c r="G38" s="77" t="s">
        <v>39</v>
      </c>
      <c r="H38" s="439" t="e">
        <f>'4 Mix Design'!$I$14*'2 Aggregate System'!B32/100</f>
        <v>#VALUE!</v>
      </c>
      <c r="I38" s="440" t="e">
        <f>'4 Mix Design'!$I$15*'2 Aggregate System'!C32/100</f>
        <v>#VALUE!</v>
      </c>
      <c r="J38" s="439" t="e">
        <f>'4 Mix Design'!$I$16*'2 Aggregate System'!D32/100</f>
        <v>#VALUE!</v>
      </c>
      <c r="K38" s="440" t="e">
        <f>'4 Mix Design'!$I$17*'2 Aggregate System'!E32/100</f>
        <v>#VALUE!</v>
      </c>
      <c r="L38" s="439" t="e">
        <f>'4 Mix Design'!$I$18*'2 Aggregate System'!F32/100</f>
        <v>#VALUE!</v>
      </c>
      <c r="M38" s="441" t="e">
        <f t="shared" si="0"/>
        <v>#VALUE!</v>
      </c>
      <c r="N38" s="442" t="e">
        <f t="shared" si="1"/>
        <v>#VALUE!</v>
      </c>
    </row>
    <row r="39" spans="7:14" x14ac:dyDescent="0.3">
      <c r="G39" s="77" t="s">
        <v>40</v>
      </c>
      <c r="H39" s="439" t="e">
        <f>'4 Mix Design'!$I$14*'2 Aggregate System'!B33/100</f>
        <v>#VALUE!</v>
      </c>
      <c r="I39" s="440" t="e">
        <f>'4 Mix Design'!$I$15*'2 Aggregate System'!C33/100</f>
        <v>#VALUE!</v>
      </c>
      <c r="J39" s="439" t="e">
        <f>'4 Mix Design'!$I$16*'2 Aggregate System'!D33/100</f>
        <v>#VALUE!</v>
      </c>
      <c r="K39" s="440" t="e">
        <f>'4 Mix Design'!$I$17*'2 Aggregate System'!E33/100</f>
        <v>#VALUE!</v>
      </c>
      <c r="L39" s="439" t="e">
        <f>'4 Mix Design'!$I$18*'2 Aggregate System'!F33/100</f>
        <v>#VALUE!</v>
      </c>
      <c r="M39" s="441" t="e">
        <f t="shared" si="0"/>
        <v>#VALUE!</v>
      </c>
      <c r="N39" s="442" t="e">
        <f t="shared" si="1"/>
        <v>#VALUE!</v>
      </c>
    </row>
    <row r="40" spans="7:14" x14ac:dyDescent="0.3">
      <c r="G40" s="77" t="s">
        <v>41</v>
      </c>
      <c r="H40" s="439" t="e">
        <f>'4 Mix Design'!$I$14*'2 Aggregate System'!B34/100</f>
        <v>#VALUE!</v>
      </c>
      <c r="I40" s="440" t="e">
        <f>'4 Mix Design'!$I$15*'2 Aggregate System'!C34/100</f>
        <v>#VALUE!</v>
      </c>
      <c r="J40" s="439" t="e">
        <f>'4 Mix Design'!$I$16*'2 Aggregate System'!D34/100</f>
        <v>#VALUE!</v>
      </c>
      <c r="K40" s="440" t="e">
        <f>'4 Mix Design'!$I$17*'2 Aggregate System'!E34/100</f>
        <v>#VALUE!</v>
      </c>
      <c r="L40" s="439" t="e">
        <f>'4 Mix Design'!$I$18*'2 Aggregate System'!F34/100</f>
        <v>#VALUE!</v>
      </c>
      <c r="M40" s="441" t="e">
        <f t="shared" si="0"/>
        <v>#VALUE!</v>
      </c>
      <c r="N40" s="442" t="e">
        <f t="shared" si="1"/>
        <v>#VALUE!</v>
      </c>
    </row>
    <row r="41" spans="7:14" x14ac:dyDescent="0.3">
      <c r="G41" s="77" t="s">
        <v>42</v>
      </c>
      <c r="H41" s="439" t="e">
        <f>'4 Mix Design'!$I$14*'2 Aggregate System'!B35/100</f>
        <v>#VALUE!</v>
      </c>
      <c r="I41" s="440" t="e">
        <f>'4 Mix Design'!$I$15*'2 Aggregate System'!C35/100</f>
        <v>#VALUE!</v>
      </c>
      <c r="J41" s="439" t="e">
        <f>'4 Mix Design'!$I$16*'2 Aggregate System'!D35/100</f>
        <v>#VALUE!</v>
      </c>
      <c r="K41" s="440" t="e">
        <f>'4 Mix Design'!$I$17*'2 Aggregate System'!E35/100</f>
        <v>#VALUE!</v>
      </c>
      <c r="L41" s="439" t="e">
        <f>'4 Mix Design'!$I$18*'2 Aggregate System'!F35/100</f>
        <v>#VALUE!</v>
      </c>
      <c r="M41" s="441" t="e">
        <f t="shared" si="0"/>
        <v>#VALUE!</v>
      </c>
      <c r="N41" s="442" t="e">
        <f t="shared" si="1"/>
        <v>#VALUE!</v>
      </c>
    </row>
    <row r="42" spans="7:14" x14ac:dyDescent="0.3">
      <c r="G42" s="77" t="s">
        <v>43</v>
      </c>
      <c r="H42" s="439" t="e">
        <f>'4 Mix Design'!$I$14*'2 Aggregate System'!B36/100</f>
        <v>#VALUE!</v>
      </c>
      <c r="I42" s="440" t="e">
        <f>'4 Mix Design'!$I$15*'2 Aggregate System'!C36/100</f>
        <v>#VALUE!</v>
      </c>
      <c r="J42" s="439" t="e">
        <f>'4 Mix Design'!$I$16*'2 Aggregate System'!D36/100</f>
        <v>#VALUE!</v>
      </c>
      <c r="K42" s="440" t="e">
        <f>'4 Mix Design'!$I$17*'2 Aggregate System'!E36/100</f>
        <v>#VALUE!</v>
      </c>
      <c r="L42" s="439" t="e">
        <f>'4 Mix Design'!$I$18*'2 Aggregate System'!F36/100</f>
        <v>#VALUE!</v>
      </c>
      <c r="M42" s="441" t="e">
        <f t="shared" si="0"/>
        <v>#VALUE!</v>
      </c>
      <c r="N42" s="442" t="e">
        <f t="shared" si="1"/>
        <v>#VALUE!</v>
      </c>
    </row>
    <row r="43" spans="7:14" x14ac:dyDescent="0.3">
      <c r="G43" s="77" t="s">
        <v>44</v>
      </c>
      <c r="H43" s="439" t="e">
        <f>'4 Mix Design'!$I$14*'2 Aggregate System'!B37/100</f>
        <v>#VALUE!</v>
      </c>
      <c r="I43" s="440" t="e">
        <f>'4 Mix Design'!$I$15*'2 Aggregate System'!C37/100</f>
        <v>#VALUE!</v>
      </c>
      <c r="J43" s="439" t="e">
        <f>'4 Mix Design'!$I$16*'2 Aggregate System'!D37/100</f>
        <v>#VALUE!</v>
      </c>
      <c r="K43" s="440" t="e">
        <f>'4 Mix Design'!$I$17*'2 Aggregate System'!E37/100</f>
        <v>#VALUE!</v>
      </c>
      <c r="L43" s="439" t="e">
        <f>'4 Mix Design'!$I$18*'2 Aggregate System'!F37/100</f>
        <v>#VALUE!</v>
      </c>
      <c r="M43" s="441" t="e">
        <f t="shared" si="0"/>
        <v>#VALUE!</v>
      </c>
      <c r="N43" s="442" t="e">
        <f t="shared" si="1"/>
        <v>#VALUE!</v>
      </c>
    </row>
    <row r="44" spans="7:14" ht="16.2" thickBot="1" x14ac:dyDescent="0.35">
      <c r="G44" s="78" t="s">
        <v>45</v>
      </c>
      <c r="H44" s="443" t="e">
        <f>'4 Mix Design'!$I$14*'2 Aggregate System'!B38/100</f>
        <v>#VALUE!</v>
      </c>
      <c r="I44" s="444" t="e">
        <f>'4 Mix Design'!$I$15*'2 Aggregate System'!C38/100</f>
        <v>#VALUE!</v>
      </c>
      <c r="J44" s="443" t="e">
        <f>'4 Mix Design'!$I$16*'2 Aggregate System'!D38/100</f>
        <v>#VALUE!</v>
      </c>
      <c r="K44" s="444" t="e">
        <f>'4 Mix Design'!$I$17*'2 Aggregate System'!E38/100</f>
        <v>#VALUE!</v>
      </c>
      <c r="L44" s="443" t="e">
        <f>'4 Mix Design'!$I$18*'2 Aggregate System'!F38/100</f>
        <v>#VALUE!</v>
      </c>
      <c r="M44" s="445" t="e">
        <f t="shared" si="0"/>
        <v>#VALUE!</v>
      </c>
      <c r="N44" s="446" t="e">
        <f t="shared" si="1"/>
        <v>#VALUE!</v>
      </c>
    </row>
    <row r="75" spans="4:6" x14ac:dyDescent="0.3">
      <c r="D75"/>
      <c r="E75" s="447"/>
      <c r="F75" s="448"/>
    </row>
    <row r="76" spans="4:6" x14ac:dyDescent="0.3">
      <c r="D76"/>
      <c r="E76" s="447"/>
      <c r="F76" s="448"/>
    </row>
    <row r="77" spans="4:6" x14ac:dyDescent="0.3">
      <c r="D77"/>
      <c r="E77" s="447"/>
      <c r="F77" s="448"/>
    </row>
    <row r="78" spans="4:6" x14ac:dyDescent="0.3">
      <c r="D78"/>
      <c r="E78" s="447"/>
      <c r="F78" s="448"/>
    </row>
    <row r="79" spans="4:6" x14ac:dyDescent="0.3">
      <c r="D79"/>
      <c r="E79" s="447"/>
      <c r="F79" s="448"/>
    </row>
    <row r="80" spans="4:6" x14ac:dyDescent="0.3">
      <c r="D80"/>
      <c r="E80" s="447"/>
      <c r="F80" s="448"/>
    </row>
    <row r="81" spans="2:6" x14ac:dyDescent="0.3">
      <c r="D81"/>
      <c r="E81" s="447"/>
      <c r="F81" s="448"/>
    </row>
    <row r="86" spans="2:6" x14ac:dyDescent="0.3">
      <c r="B86" s="449"/>
      <c r="C86" s="450"/>
      <c r="D86" s="450"/>
    </row>
    <row r="87" spans="2:6" x14ac:dyDescent="0.3">
      <c r="B87" s="449"/>
      <c r="C87" s="450"/>
      <c r="D87" s="450"/>
    </row>
    <row r="88" spans="2:6" x14ac:dyDescent="0.3">
      <c r="B88" s="449"/>
      <c r="C88" s="450"/>
      <c r="D88" s="450"/>
    </row>
    <row r="89" spans="2:6" x14ac:dyDescent="0.3">
      <c r="B89" s="449"/>
      <c r="C89" s="450"/>
      <c r="D89" s="450"/>
    </row>
    <row r="90" spans="2:6" x14ac:dyDescent="0.3">
      <c r="B90" s="449"/>
      <c r="C90" s="450"/>
      <c r="D90" s="450"/>
    </row>
    <row r="91" spans="2:6" x14ac:dyDescent="0.3">
      <c r="B91" s="449"/>
      <c r="C91" s="450"/>
      <c r="D91" s="450"/>
    </row>
    <row r="92" spans="2:6" x14ac:dyDescent="0.3">
      <c r="B92" s="449"/>
      <c r="C92" s="451"/>
      <c r="D92" s="426"/>
    </row>
    <row r="93" spans="2:6" x14ac:dyDescent="0.3">
      <c r="C93" s="451"/>
      <c r="D93" s="426"/>
    </row>
    <row r="94" spans="2:6" x14ac:dyDescent="0.3">
      <c r="C94" s="451"/>
      <c r="D94" s="426"/>
    </row>
    <row r="95" spans="2:6" x14ac:dyDescent="0.3">
      <c r="C95" s="451"/>
      <c r="D95" s="426"/>
    </row>
    <row r="96" spans="2:6" x14ac:dyDescent="0.3">
      <c r="C96" s="451"/>
      <c r="D96" s="426"/>
    </row>
    <row r="97" spans="3:20" x14ac:dyDescent="0.3">
      <c r="C97" s="451"/>
      <c r="D97" s="426"/>
    </row>
    <row r="98" spans="3:20" x14ac:dyDescent="0.3">
      <c r="C98" s="451"/>
      <c r="D98" s="426"/>
    </row>
    <row r="99" spans="3:20" x14ac:dyDescent="0.3">
      <c r="C99" s="451"/>
      <c r="D99" s="426"/>
    </row>
    <row r="100" spans="3:20" x14ac:dyDescent="0.3">
      <c r="C100" s="451"/>
      <c r="D100" s="426"/>
    </row>
    <row r="101" spans="3:20" x14ac:dyDescent="0.3">
      <c r="C101" s="451"/>
      <c r="D101" s="426"/>
    </row>
    <row r="103" spans="3:20" x14ac:dyDescent="0.3">
      <c r="E103" s="452"/>
    </row>
    <row r="104" spans="3:20" x14ac:dyDescent="0.3">
      <c r="D104" s="425"/>
      <c r="E104" s="452"/>
      <c r="S104" s="452"/>
      <c r="T104" s="425"/>
    </row>
    <row r="105" spans="3:20" x14ac:dyDescent="0.3">
      <c r="D105" s="425"/>
      <c r="E105" s="452"/>
      <c r="S105" s="452"/>
      <c r="T105" s="425"/>
    </row>
    <row r="106" spans="3:20" x14ac:dyDescent="0.3">
      <c r="D106" s="425"/>
      <c r="E106" s="452"/>
      <c r="S106" s="452"/>
      <c r="T106" s="425"/>
    </row>
    <row r="107" spans="3:20" x14ac:dyDescent="0.3">
      <c r="D107" s="425"/>
      <c r="E107" s="452"/>
      <c r="S107" s="452"/>
      <c r="T107" s="425"/>
    </row>
    <row r="108" spans="3:20" x14ac:dyDescent="0.3">
      <c r="D108" s="425"/>
      <c r="E108" s="452"/>
      <c r="S108" s="452"/>
      <c r="T108" s="425"/>
    </row>
    <row r="109" spans="3:20" x14ac:dyDescent="0.3">
      <c r="D109" s="425"/>
      <c r="E109" s="452"/>
      <c r="S109" s="452"/>
      <c r="T109" s="425"/>
    </row>
    <row r="110" spans="3:20" x14ac:dyDescent="0.3">
      <c r="D110" s="425"/>
      <c r="S110" s="452"/>
      <c r="T110" s="425"/>
    </row>
    <row r="111" spans="3:20" x14ac:dyDescent="0.3">
      <c r="D111" s="425"/>
    </row>
    <row r="112" spans="3:20" x14ac:dyDescent="0.3">
      <c r="D112" s="425"/>
    </row>
    <row r="113" spans="4:26" x14ac:dyDescent="0.3">
      <c r="D113" s="425"/>
      <c r="R113" s="453"/>
      <c r="S113" s="453"/>
    </row>
    <row r="114" spans="4:26" x14ac:dyDescent="0.3">
      <c r="D114" s="425"/>
      <c r="R114" s="454"/>
      <c r="S114" s="454"/>
    </row>
    <row r="115" spans="4:26" x14ac:dyDescent="0.3">
      <c r="D115" s="425"/>
    </row>
    <row r="116" spans="4:26" x14ac:dyDescent="0.3">
      <c r="D116" s="425"/>
    </row>
    <row r="122" spans="4:26" x14ac:dyDescent="0.3">
      <c r="X122" s="455"/>
      <c r="Y122" s="455"/>
      <c r="Z122" s="455"/>
    </row>
    <row r="123" spans="4:26" x14ac:dyDescent="0.3">
      <c r="X123" s="455"/>
      <c r="Y123" s="455"/>
      <c r="Z123" s="455"/>
    </row>
    <row r="124" spans="4:26" x14ac:dyDescent="0.3">
      <c r="X124" s="455"/>
      <c r="Y124" s="455"/>
      <c r="Z124" s="455"/>
    </row>
    <row r="125" spans="4:26" x14ac:dyDescent="0.3">
      <c r="X125" s="455"/>
      <c r="Y125" s="455"/>
      <c r="Z125" s="455"/>
    </row>
    <row r="126" spans="4:26" x14ac:dyDescent="0.3">
      <c r="X126" s="455"/>
      <c r="Y126" s="455"/>
      <c r="Z126" s="455"/>
    </row>
    <row r="127" spans="4:26" x14ac:dyDescent="0.3">
      <c r="X127" s="455"/>
      <c r="Y127" s="455"/>
      <c r="Z127" s="455"/>
    </row>
    <row r="128" spans="4:26" x14ac:dyDescent="0.3">
      <c r="X128" s="455"/>
      <c r="Y128" s="455"/>
      <c r="Z128" s="455"/>
    </row>
    <row r="129" spans="5:26" x14ac:dyDescent="0.3">
      <c r="X129" s="455"/>
      <c r="Y129" s="455"/>
      <c r="Z129" s="455"/>
    </row>
    <row r="130" spans="5:26" x14ac:dyDescent="0.3">
      <c r="X130" s="455"/>
      <c r="Y130" s="455"/>
      <c r="Z130" s="455"/>
    </row>
    <row r="131" spans="5:26" x14ac:dyDescent="0.3">
      <c r="X131" s="455"/>
      <c r="Y131" s="455"/>
      <c r="Z131" s="455"/>
    </row>
    <row r="132" spans="5:26" x14ac:dyDescent="0.3">
      <c r="X132" s="455"/>
      <c r="Y132" s="455"/>
      <c r="Z132" s="455"/>
    </row>
    <row r="133" spans="5:26" x14ac:dyDescent="0.3">
      <c r="X133" s="455"/>
      <c r="Y133" s="455"/>
      <c r="Z133" s="455"/>
    </row>
    <row r="134" spans="5:26" x14ac:dyDescent="0.3">
      <c r="E134" s="426"/>
      <c r="X134" s="455"/>
      <c r="Y134" s="455"/>
      <c r="Z134" s="455"/>
    </row>
    <row r="135" spans="5:26" x14ac:dyDescent="0.3">
      <c r="E135" s="426"/>
      <c r="X135" s="455"/>
      <c r="Y135" s="455"/>
      <c r="Z135" s="455"/>
    </row>
    <row r="136" spans="5:26" x14ac:dyDescent="0.3">
      <c r="E136" s="426"/>
      <c r="X136" s="455"/>
      <c r="Y136" s="455"/>
      <c r="Z136" s="455"/>
    </row>
    <row r="137" spans="5:26" x14ac:dyDescent="0.3">
      <c r="E137" s="426"/>
      <c r="X137" s="455"/>
      <c r="Y137" s="455"/>
      <c r="Z137" s="455"/>
    </row>
    <row r="138" spans="5:26" x14ac:dyDescent="0.3">
      <c r="E138" s="426"/>
      <c r="X138" s="455"/>
      <c r="Y138" s="455"/>
      <c r="Z138" s="455"/>
    </row>
    <row r="139" spans="5:26" x14ac:dyDescent="0.3">
      <c r="E139" s="426"/>
      <c r="X139" s="455"/>
      <c r="Y139" s="455"/>
      <c r="Z139" s="455"/>
    </row>
    <row r="140" spans="5:26" x14ac:dyDescent="0.3">
      <c r="E140" s="426"/>
      <c r="X140" s="455"/>
      <c r="Y140" s="455"/>
      <c r="Z140" s="455"/>
    </row>
    <row r="141" spans="5:26" x14ac:dyDescent="0.3">
      <c r="E141" s="426"/>
    </row>
    <row r="142" spans="5:26" x14ac:dyDescent="0.3">
      <c r="E142" s="426"/>
    </row>
    <row r="143" spans="5:26" x14ac:dyDescent="0.3">
      <c r="E143" s="426"/>
    </row>
    <row r="144" spans="5:26" x14ac:dyDescent="0.3">
      <c r="E144" s="426"/>
    </row>
  </sheetData>
  <sheetProtection selectLockedCells="1"/>
  <mergeCells count="11">
    <mergeCell ref="G1:I1"/>
    <mergeCell ref="A1:F1"/>
    <mergeCell ref="M29:M31"/>
    <mergeCell ref="N29:N31"/>
    <mergeCell ref="M28:N28"/>
    <mergeCell ref="G27:N27"/>
    <mergeCell ref="G3:J3"/>
    <mergeCell ref="B4:C4"/>
    <mergeCell ref="B5:C5"/>
    <mergeCell ref="H28:L28"/>
    <mergeCell ref="B6:E8"/>
  </mergeCells>
  <pageMargins left="0.7" right="0.7" top="0.75" bottom="0.75" header="0.3" footer="0.3"/>
  <pageSetup scale="52" orientation="portrait" r:id="rId1"/>
  <headerFooter>
    <oddFooter>&amp;L&amp;9&amp;A&amp;C&amp;9&amp;P of &amp;N&amp;R&amp;9&amp;F</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325B7-93A5-4FF1-946A-108F0EF435DE}">
  <sheetPr>
    <tabColor rgb="FFFF0000"/>
  </sheetPr>
  <dimension ref="A1:AY72"/>
  <sheetViews>
    <sheetView topLeftCell="R1" zoomScale="80" zoomScaleNormal="80" workbookViewId="0">
      <selection activeCell="AB8" sqref="AB8"/>
    </sheetView>
  </sheetViews>
  <sheetFormatPr defaultColWidth="9.33203125" defaultRowHeight="15.6" x14ac:dyDescent="0.3"/>
  <cols>
    <col min="1" max="6" width="9.33203125" style="1"/>
    <col min="7" max="7" width="10.44140625" style="1" bestFit="1" customWidth="1"/>
    <col min="8" max="8" width="9.33203125" style="1"/>
    <col min="9" max="9" width="14" style="1" bestFit="1" customWidth="1"/>
    <col min="10" max="18" width="9.33203125" style="1"/>
    <col min="19" max="20" width="10.44140625" style="1" bestFit="1" customWidth="1"/>
    <col min="21" max="22" width="9.33203125" style="1"/>
    <col min="23" max="24" width="10.44140625" style="1" bestFit="1" customWidth="1"/>
    <col min="25" max="27" width="9.33203125" style="1"/>
    <col min="28" max="30" width="15" style="1" bestFit="1" customWidth="1"/>
    <col min="31" max="31" width="16.109375" style="1" bestFit="1" customWidth="1"/>
    <col min="32" max="33" width="9.33203125" style="1"/>
    <col min="34" max="34" width="14.88671875" style="1" bestFit="1" customWidth="1"/>
    <col min="35" max="35" width="14.5546875" style="1" bestFit="1" customWidth="1"/>
    <col min="36" max="40" width="9.33203125" style="1"/>
    <col min="41" max="41" width="13.33203125" style="1" bestFit="1" customWidth="1"/>
    <col min="42" max="44" width="9.33203125" style="1"/>
    <col min="45" max="45" width="14.109375" style="1" bestFit="1" customWidth="1"/>
    <col min="46" max="46" width="9.33203125" style="1"/>
    <col min="47" max="47" width="15" style="1" bestFit="1" customWidth="1"/>
    <col min="48" max="53" width="9.33203125" style="1"/>
    <col min="54" max="54" width="15" style="1" bestFit="1" customWidth="1"/>
    <col min="55" max="56" width="9.33203125" style="1"/>
    <col min="57" max="57" width="15.6640625" style="1" bestFit="1" customWidth="1"/>
    <col min="58" max="58" width="10.5546875" style="1" bestFit="1" customWidth="1"/>
    <col min="59" max="16384" width="9.33203125" style="1"/>
  </cols>
  <sheetData>
    <row r="1" spans="1:51" ht="16.2" customHeight="1" thickBot="1" x14ac:dyDescent="0.35">
      <c r="A1" s="1332" t="s">
        <v>378</v>
      </c>
      <c r="B1" s="1333"/>
      <c r="C1" s="1333"/>
      <c r="D1" s="1333"/>
      <c r="E1" s="1333"/>
      <c r="F1" s="1333"/>
      <c r="G1" s="1333"/>
      <c r="H1" s="723"/>
      <c r="I1" s="1334" t="s">
        <v>365</v>
      </c>
      <c r="J1" s="1334"/>
      <c r="K1" s="1334"/>
      <c r="L1" s="1335"/>
      <c r="Q1" s="1377" t="s">
        <v>199</v>
      </c>
      <c r="R1" s="1377"/>
      <c r="S1" s="1377"/>
      <c r="T1" s="1377"/>
      <c r="U1" s="1377"/>
      <c r="V1" s="1377"/>
      <c r="W1" s="1377"/>
      <c r="X1" s="1377"/>
      <c r="Y1" s="1377"/>
      <c r="Z1" s="1377"/>
      <c r="AA1" s="1377"/>
      <c r="AB1" s="1377"/>
      <c r="AC1" s="1377"/>
      <c r="AD1" s="1377"/>
      <c r="AE1" s="1377"/>
      <c r="AF1" s="1377"/>
    </row>
    <row r="2" spans="1:51" ht="15.6" customHeight="1" x14ac:dyDescent="0.3">
      <c r="A2" s="499" t="str">
        <f>Directions!A2</f>
        <v>DT2221     08/2022</v>
      </c>
      <c r="Q2" s="1377"/>
      <c r="R2" s="1377"/>
      <c r="S2" s="1377"/>
      <c r="T2" s="1377"/>
      <c r="U2" s="1377"/>
      <c r="V2" s="1377"/>
      <c r="W2" s="1377"/>
      <c r="X2" s="1377"/>
      <c r="Y2" s="1377"/>
      <c r="Z2" s="1377"/>
      <c r="AA2" s="1377"/>
      <c r="AB2" s="1377"/>
      <c r="AC2" s="1377"/>
      <c r="AD2" s="1377"/>
      <c r="AE2" s="1377"/>
      <c r="AF2" s="1377"/>
    </row>
    <row r="3" spans="1:51" ht="15.6" customHeight="1" x14ac:dyDescent="0.3">
      <c r="B3" s="495"/>
      <c r="C3" s="496"/>
      <c r="D3" s="496"/>
      <c r="E3" s="496"/>
      <c r="F3" s="496"/>
      <c r="G3" s="496"/>
      <c r="H3" s="496"/>
      <c r="I3" s="405"/>
      <c r="Q3" s="1377"/>
      <c r="R3" s="1377"/>
      <c r="S3" s="1377"/>
      <c r="T3" s="1377"/>
      <c r="U3" s="1377"/>
      <c r="V3" s="1377"/>
      <c r="W3" s="1377"/>
      <c r="X3" s="1377"/>
      <c r="Y3" s="1377"/>
      <c r="Z3" s="1377"/>
      <c r="AA3" s="1377"/>
      <c r="AB3" s="1377"/>
      <c r="AC3" s="1377"/>
      <c r="AD3" s="1377"/>
      <c r="AE3" s="1377"/>
      <c r="AF3" s="1377"/>
    </row>
    <row r="4" spans="1:51" ht="15.6" customHeight="1" thickBot="1" x14ac:dyDescent="0.35">
      <c r="B4" s="4" t="s">
        <v>83</v>
      </c>
      <c r="Q4" s="1377"/>
      <c r="R4" s="1377"/>
      <c r="S4" s="1377"/>
      <c r="T4" s="1377"/>
      <c r="U4" s="1377"/>
      <c r="V4" s="1377"/>
      <c r="W4" s="1377"/>
      <c r="X4" s="1377"/>
      <c r="Y4" s="1377"/>
      <c r="Z4" s="1377"/>
      <c r="AA4" s="1377"/>
      <c r="AB4" s="1377"/>
      <c r="AC4" s="1377"/>
      <c r="AD4" s="1377"/>
      <c r="AE4" s="1377"/>
      <c r="AF4" s="1377"/>
    </row>
    <row r="5" spans="1:51" ht="16.2" thickBot="1" x14ac:dyDescent="0.35">
      <c r="B5" s="12"/>
      <c r="C5" s="13" t="s">
        <v>28</v>
      </c>
      <c r="D5" s="13" t="s">
        <v>29</v>
      </c>
      <c r="E5" s="13" t="s">
        <v>84</v>
      </c>
      <c r="F5" s="13"/>
      <c r="G5" s="14" t="s">
        <v>85</v>
      </c>
      <c r="H5" s="4"/>
      <c r="O5" s="5" t="e">
        <f>'2 Aggregate System'!#REF!</f>
        <v>#REF!</v>
      </c>
      <c r="AH5" s="1362" t="s">
        <v>457</v>
      </c>
      <c r="AI5" s="1362"/>
      <c r="AJ5" s="1362"/>
      <c r="AK5" s="1362"/>
      <c r="AV5" s="1363" t="s">
        <v>595</v>
      </c>
      <c r="AW5" s="1364"/>
      <c r="AX5" s="1364"/>
      <c r="AY5" s="1365"/>
    </row>
    <row r="6" spans="1:51" ht="16.2" thickBot="1" x14ac:dyDescent="0.35">
      <c r="B6" s="15" t="s">
        <v>32</v>
      </c>
      <c r="C6" s="16" t="e">
        <f>'2 Aggregate System'!#REF!</f>
        <v>#REF!</v>
      </c>
      <c r="D6" s="16" t="e">
        <f>'2 Aggregate System'!#REF!</f>
        <v>#REF!</v>
      </c>
      <c r="E6" s="16">
        <f>'2 Aggregate System'!G24</f>
        <v>0</v>
      </c>
      <c r="F6" s="17"/>
      <c r="G6" s="18" t="e">
        <f>SUM(C6:E6)</f>
        <v>#REF!</v>
      </c>
      <c r="N6" s="11">
        <v>0.75</v>
      </c>
      <c r="O6" s="11">
        <v>1</v>
      </c>
      <c r="P6" s="11">
        <v>1.5</v>
      </c>
      <c r="AB6" s="1378" t="s">
        <v>186</v>
      </c>
      <c r="AC6" s="1378"/>
      <c r="AD6" s="1378"/>
      <c r="AE6" s="1378"/>
      <c r="AF6" s="1378"/>
      <c r="AH6" s="1375" t="s">
        <v>187</v>
      </c>
      <c r="AI6" s="1375"/>
      <c r="AJ6" s="1374" t="s">
        <v>231</v>
      </c>
      <c r="AK6" s="1374"/>
      <c r="AN6" s="1370" t="s">
        <v>397</v>
      </c>
      <c r="AO6" s="1371"/>
      <c r="AP6" s="1371"/>
      <c r="AQ6" s="1371"/>
      <c r="AR6" s="1372"/>
      <c r="AV6" s="1366" t="s">
        <v>187</v>
      </c>
      <c r="AW6" s="1367"/>
      <c r="AX6" s="1368" t="s">
        <v>231</v>
      </c>
      <c r="AY6" s="1369"/>
    </row>
    <row r="7" spans="1:51" ht="16.2" thickBot="1" x14ac:dyDescent="0.35">
      <c r="N7" s="11"/>
      <c r="O7" s="11"/>
      <c r="P7" s="11"/>
      <c r="AB7" s="23" t="s">
        <v>158</v>
      </c>
      <c r="AC7" s="58" t="s">
        <v>159</v>
      </c>
      <c r="AD7" s="23" t="s">
        <v>176</v>
      </c>
      <c r="AE7" s="23" t="s">
        <v>177</v>
      </c>
      <c r="AF7" s="23" t="s">
        <v>178</v>
      </c>
      <c r="AH7" s="1" t="s">
        <v>177</v>
      </c>
      <c r="AI7" s="1" t="s">
        <v>178</v>
      </c>
      <c r="AJ7" s="1" t="s">
        <v>230</v>
      </c>
      <c r="AM7" s="724"/>
      <c r="AN7" s="525" t="s">
        <v>158</v>
      </c>
      <c r="AO7" s="525" t="s">
        <v>159</v>
      </c>
      <c r="AP7" s="525" t="s">
        <v>176</v>
      </c>
      <c r="AQ7" s="525" t="s">
        <v>177</v>
      </c>
      <c r="AR7" s="525" t="s">
        <v>178</v>
      </c>
      <c r="AS7" s="23" t="s">
        <v>398</v>
      </c>
      <c r="AT7" s="23" t="s">
        <v>594</v>
      </c>
      <c r="AV7" s="776" t="s">
        <v>177</v>
      </c>
      <c r="AW7" s="11" t="s">
        <v>178</v>
      </c>
      <c r="AX7" s="11" t="s">
        <v>230</v>
      </c>
      <c r="AY7" s="777"/>
    </row>
    <row r="8" spans="1:51" ht="46.8" x14ac:dyDescent="0.3">
      <c r="B8" s="19"/>
      <c r="C8" s="20" t="str">
        <f>'6 Agg Analysis'!B25</f>
        <v>Sieve:</v>
      </c>
      <c r="D8" s="20" t="str">
        <f>'6 Agg Analysis'!C25</f>
        <v>mm</v>
      </c>
      <c r="E8" s="20" t="str">
        <f>'6 Agg Analysis'!D25</f>
        <v>^45</v>
      </c>
      <c r="F8" s="20" t="str">
        <f>'6 Agg Analysis'!E25</f>
        <v>Mixture</v>
      </c>
      <c r="G8" s="20" t="s">
        <v>86</v>
      </c>
      <c r="H8" s="21" t="s">
        <v>87</v>
      </c>
      <c r="I8" s="11"/>
      <c r="N8" s="11">
        <v>100</v>
      </c>
      <c r="O8" s="11">
        <v>100</v>
      </c>
      <c r="P8" s="11">
        <v>100</v>
      </c>
      <c r="AA8" s="742" t="s">
        <v>33</v>
      </c>
      <c r="AB8" s="27">
        <f>IF('2 Aggregate System'!B26=0,0,(100-'2 Aggregate System'!B26))</f>
        <v>0</v>
      </c>
      <c r="AC8" s="62">
        <f>IF('2 Aggregate System'!C26=0,0,(100-'2 Aggregate System'!C26))</f>
        <v>0</v>
      </c>
      <c r="AD8" s="27">
        <f>IF('2 Aggregate System'!D26=0,0,(100-'2 Aggregate System'!D26))</f>
        <v>0</v>
      </c>
      <c r="AE8" s="27">
        <f>IF('2 Aggregate System'!E26=0,0,(100-'2 Aggregate System'!E26))</f>
        <v>0</v>
      </c>
      <c r="AF8" s="27">
        <f>IF('2 Aggregate System'!F26=0,0,(100-'2 Aggregate System'!F26))</f>
        <v>0</v>
      </c>
      <c r="AH8" s="6">
        <f>AE8</f>
        <v>0</v>
      </c>
      <c r="AI8" s="6">
        <f>AF8</f>
        <v>0</v>
      </c>
      <c r="AJ8" s="6" t="e">
        <f>(($AC$29/SUM($AC$29:$AC$30))*AE8+($AC$30/SUM($AC$29:$AC$30)*AF8))</f>
        <v>#DIV/0!</v>
      </c>
      <c r="AK8" s="6" t="e">
        <f>AJ8</f>
        <v>#DIV/0!</v>
      </c>
      <c r="AM8" s="526" t="s">
        <v>33</v>
      </c>
      <c r="AN8" s="527" t="str">
        <f>IF('2 Aggregate System'!B26=0,"-",(($AP$41/100)*'2 Aggregate System'!B26))</f>
        <v>-</v>
      </c>
      <c r="AO8" s="527" t="str">
        <f>IF('2 Aggregate System'!C26=0,"-",(($AP$42/100)*'2 Aggregate System'!C26))</f>
        <v>-</v>
      </c>
      <c r="AP8" s="527" t="str">
        <f>IF('2 Aggregate System'!D26=0,"-",(($AP$43/100)*'2 Aggregate System'!D26))</f>
        <v>-</v>
      </c>
      <c r="AQ8" s="527" t="str">
        <f>IF('2 Aggregate System'!E26=0,"-",(($AP$44/100)*'2 Aggregate System'!E26))</f>
        <v>-</v>
      </c>
      <c r="AR8" s="527" t="str">
        <f>IF('2 Aggregate System'!F26=0,"-",(($AP$45/100)*'2 Aggregate System'!F26))</f>
        <v>-</v>
      </c>
      <c r="AS8" s="27">
        <f t="shared" ref="AS8:AS20" si="0">SUM(AN8:AR8)</f>
        <v>0</v>
      </c>
      <c r="AT8" s="27">
        <f>100-AS8</f>
        <v>100</v>
      </c>
      <c r="AV8" s="778">
        <f>AE8</f>
        <v>0</v>
      </c>
      <c r="AW8" s="775">
        <f>AF8</f>
        <v>0</v>
      </c>
      <c r="AX8" s="775" t="e">
        <f t="shared" ref="AX8:AX19" si="1">AE8*($AM$44/$AM$47)+AF8*($AM$45/$AM$47)</f>
        <v>#DIV/0!</v>
      </c>
      <c r="AY8" s="779" t="e">
        <f>AX8</f>
        <v>#DIV/0!</v>
      </c>
    </row>
    <row r="9" spans="1:51" x14ac:dyDescent="0.3">
      <c r="C9" s="22"/>
      <c r="D9" s="22"/>
      <c r="E9" s="22"/>
      <c r="F9" s="22"/>
      <c r="G9" s="22"/>
      <c r="H9" s="22"/>
      <c r="I9" s="22"/>
      <c r="N9" s="11">
        <v>100</v>
      </c>
      <c r="O9" s="11">
        <v>100</v>
      </c>
      <c r="P9" s="11">
        <v>100</v>
      </c>
      <c r="AA9" s="28" t="s">
        <v>34</v>
      </c>
      <c r="AB9" s="27">
        <f>IF('2 Aggregate System'!B27=0,0,('2 Aggregate System'!B26-'2 Aggregate System'!B27))</f>
        <v>0</v>
      </c>
      <c r="AC9" s="62">
        <f>IF('2 Aggregate System'!C27=0,0,('2 Aggregate System'!C26-'2 Aggregate System'!C27))</f>
        <v>0</v>
      </c>
      <c r="AD9" s="27">
        <f>IF('2 Aggregate System'!D27=0,0,('2 Aggregate System'!D26-'2 Aggregate System'!D27))</f>
        <v>0</v>
      </c>
      <c r="AE9" s="27">
        <f>IF('2 Aggregate System'!E27=0,0,('2 Aggregate System'!E26-'2 Aggregate System'!E27))</f>
        <v>0</v>
      </c>
      <c r="AF9" s="27">
        <f>IF('2 Aggregate System'!F27=0,0,('2 Aggregate System'!F26-'2 Aggregate System'!F27))</f>
        <v>0</v>
      </c>
      <c r="AH9" s="6">
        <f>SUM(AE8:AE9)</f>
        <v>0</v>
      </c>
      <c r="AI9" s="6">
        <f t="shared" ref="AI9:AI11" si="2">AF9</f>
        <v>0</v>
      </c>
      <c r="AJ9" s="6" t="e">
        <f t="shared" ref="AJ9:AJ11" si="3">(($AC$29/SUM($AC$29:$AC$30))*AE9+($AC$30/SUM($AC$29:$AC$30)*AF9))</f>
        <v>#DIV/0!</v>
      </c>
      <c r="AK9" s="6" t="e">
        <f>SUM(AJ8:AJ9)</f>
        <v>#DIV/0!</v>
      </c>
      <c r="AM9" s="528" t="s">
        <v>34</v>
      </c>
      <c r="AN9" s="527" t="str">
        <f>IF('2 Aggregate System'!B27=0,"-",(($AP$41/100)*'2 Aggregate System'!B27))</f>
        <v>-</v>
      </c>
      <c r="AO9" s="527" t="str">
        <f>IF('2 Aggregate System'!C27=0,"-",(($AP$42/100)*'2 Aggregate System'!C27))</f>
        <v>-</v>
      </c>
      <c r="AP9" s="527" t="str">
        <f>IF('2 Aggregate System'!D27=0,"-",(($AP$43/100)*'2 Aggregate System'!D27))</f>
        <v>-</v>
      </c>
      <c r="AQ9" s="527" t="str">
        <f>IF('2 Aggregate System'!E27=0,"-",(($AP$44/100)*'2 Aggregate System'!E27))</f>
        <v>-</v>
      </c>
      <c r="AR9" s="527" t="str">
        <f>IF('2 Aggregate System'!F27=0,"-",(($AP$45/100)*'2 Aggregate System'!F27))</f>
        <v>-</v>
      </c>
      <c r="AS9" s="27">
        <f t="shared" si="0"/>
        <v>0</v>
      </c>
      <c r="AT9" s="27">
        <f>AS8-AS9</f>
        <v>0</v>
      </c>
      <c r="AV9" s="778">
        <f>SUM(AE8:AE9)</f>
        <v>0</v>
      </c>
      <c r="AW9" s="775">
        <f>SUM(AF8:AF9)</f>
        <v>0</v>
      </c>
      <c r="AX9" s="775" t="e">
        <f t="shared" si="1"/>
        <v>#DIV/0!</v>
      </c>
      <c r="AY9" s="779" t="e">
        <f>SUM(AX8:AX9)</f>
        <v>#DIV/0!</v>
      </c>
    </row>
    <row r="10" spans="1:51" x14ac:dyDescent="0.3">
      <c r="C10" s="24" t="str">
        <f>'6 Agg Analysis'!B28</f>
        <v>2"</v>
      </c>
      <c r="D10" s="24">
        <f>'6 Agg Analysis'!C28</f>
        <v>50</v>
      </c>
      <c r="E10" s="25">
        <f>'6 Agg Analysis'!D28</f>
        <v>5.8148230317277987</v>
      </c>
      <c r="F10" s="26">
        <f>'6 Agg Analysis'!E28</f>
        <v>0</v>
      </c>
      <c r="G10" s="26" t="e">
        <f>HLOOKUP($O$5,$N$6:$P$20,3)</f>
        <v>#REF!</v>
      </c>
      <c r="H10" s="26" t="e">
        <f t="shared" ref="H10:H22" si="4">G10-F10</f>
        <v>#REF!</v>
      </c>
      <c r="I10" s="26" t="e">
        <f>SIGN(H10)*H10</f>
        <v>#REF!</v>
      </c>
      <c r="N10" s="11">
        <v>100</v>
      </c>
      <c r="O10" s="29">
        <v>100</v>
      </c>
      <c r="P10" s="29">
        <f t="shared" ref="P10:P20" si="5">(E12-$E$22)/($E$11-$E$22)*100</f>
        <v>82.238042728011123</v>
      </c>
      <c r="AA10" s="28" t="s">
        <v>35</v>
      </c>
      <c r="AB10" s="27">
        <f>IF('2 Aggregate System'!B28=0,0,('2 Aggregate System'!B27-'2 Aggregate System'!B28))</f>
        <v>0</v>
      </c>
      <c r="AC10" s="62">
        <f>IF('2 Aggregate System'!C28=0,0,('2 Aggregate System'!C27-'2 Aggregate System'!C28))</f>
        <v>0</v>
      </c>
      <c r="AD10" s="27">
        <f>IF('2 Aggregate System'!D28=0,0,('2 Aggregate System'!D27-'2 Aggregate System'!D28))</f>
        <v>0</v>
      </c>
      <c r="AE10" s="27">
        <f>IF('2 Aggregate System'!E28=0,0,('2 Aggregate System'!E27-'2 Aggregate System'!E28))</f>
        <v>0</v>
      </c>
      <c r="AF10" s="27">
        <f>IF('2 Aggregate System'!F28=0,0,('2 Aggregate System'!F27-'2 Aggregate System'!F28))</f>
        <v>0</v>
      </c>
      <c r="AH10" s="6">
        <f>SUM(AE8:AE10)</f>
        <v>0</v>
      </c>
      <c r="AI10" s="6">
        <f t="shared" si="2"/>
        <v>0</v>
      </c>
      <c r="AJ10" s="6" t="e">
        <f t="shared" si="3"/>
        <v>#DIV/0!</v>
      </c>
      <c r="AK10" s="6" t="e">
        <f>SUM(AJ8:AJ10)</f>
        <v>#DIV/0!</v>
      </c>
      <c r="AM10" s="528" t="s">
        <v>35</v>
      </c>
      <c r="AN10" s="527" t="str">
        <f>IF('2 Aggregate System'!B28=0,"-",(($AP$41/100)*'2 Aggregate System'!B28))</f>
        <v>-</v>
      </c>
      <c r="AO10" s="527" t="str">
        <f>IF('2 Aggregate System'!C28=0,"-",(($AP$42/100)*'2 Aggregate System'!C28))</f>
        <v>-</v>
      </c>
      <c r="AP10" s="527" t="str">
        <f>IF('2 Aggregate System'!D28=0,"-",(($AP$43/100)*'2 Aggregate System'!D28))</f>
        <v>-</v>
      </c>
      <c r="AQ10" s="527" t="str">
        <f>IF('2 Aggregate System'!E28=0,"-",(($AP$44/100)*'2 Aggregate System'!E28))</f>
        <v>-</v>
      </c>
      <c r="AR10" s="527" t="str">
        <f>IF('2 Aggregate System'!F28=0,"-",(($AP$45/100)*'2 Aggregate System'!F28))</f>
        <v>-</v>
      </c>
      <c r="AS10" s="27">
        <f t="shared" si="0"/>
        <v>0</v>
      </c>
      <c r="AT10" s="27">
        <f t="shared" ref="AT10:AT20" si="6">AS9-AS10</f>
        <v>0</v>
      </c>
      <c r="AV10" s="778">
        <f>SUM(AE8:AE10)</f>
        <v>0</v>
      </c>
      <c r="AW10" s="775">
        <f>SUM(AF8:AF10)</f>
        <v>0</v>
      </c>
      <c r="AX10" s="775" t="e">
        <f t="shared" si="1"/>
        <v>#DIV/0!</v>
      </c>
      <c r="AY10" s="779" t="e">
        <f>SUM(AX8:AX10)</f>
        <v>#DIV/0!</v>
      </c>
    </row>
    <row r="11" spans="1:51" x14ac:dyDescent="0.3">
      <c r="C11" s="24" t="str">
        <f>'6 Agg Analysis'!B29</f>
        <v>1-1/2"</v>
      </c>
      <c r="D11" s="24">
        <f>'6 Agg Analysis'!C29</f>
        <v>37.5</v>
      </c>
      <c r="E11" s="25">
        <f>'6 Agg Analysis'!D29</f>
        <v>5.1087431744234335</v>
      </c>
      <c r="F11" s="26">
        <f>'6 Agg Analysis'!E29</f>
        <v>0</v>
      </c>
      <c r="G11" s="26" t="e">
        <f>HLOOKUP($O$5,$N$6:$P$20,4)</f>
        <v>#REF!</v>
      </c>
      <c r="H11" s="26" t="e">
        <f t="shared" si="4"/>
        <v>#REF!</v>
      </c>
      <c r="I11" s="26" t="e">
        <f>SIGN(H11)*H11</f>
        <v>#REF!</v>
      </c>
      <c r="N11" s="11">
        <v>100</v>
      </c>
      <c r="O11" s="29">
        <f t="shared" ref="O11:O20" si="7">(E13-$E$22)/($E$12-$E$22)*100</f>
        <v>88.585730958318806</v>
      </c>
      <c r="P11" s="29">
        <f t="shared" si="5"/>
        <v>72.851171276423216</v>
      </c>
      <c r="AA11" s="28" t="s">
        <v>36</v>
      </c>
      <c r="AB11" s="27">
        <f>IF('2 Aggregate System'!B29=0,0,('2 Aggregate System'!B28-'2 Aggregate System'!B29))</f>
        <v>0</v>
      </c>
      <c r="AC11" s="62">
        <f>IF('2 Aggregate System'!C29=0,0,('2 Aggregate System'!C28-'2 Aggregate System'!C29))</f>
        <v>0</v>
      </c>
      <c r="AD11" s="27">
        <f>IF('2 Aggregate System'!D29=0,0,('2 Aggregate System'!D28-'2 Aggregate System'!D29))</f>
        <v>0</v>
      </c>
      <c r="AE11" s="27">
        <f>IF('2 Aggregate System'!E29=0,0,('2 Aggregate System'!E28-'2 Aggregate System'!E29))</f>
        <v>0</v>
      </c>
      <c r="AF11" s="27">
        <f>IF('2 Aggregate System'!F29=0,0,('2 Aggregate System'!F28-'2 Aggregate System'!F29))</f>
        <v>0</v>
      </c>
      <c r="AH11" s="6">
        <f>SUM(AE8:AE11)</f>
        <v>0</v>
      </c>
      <c r="AI11" s="6">
        <f t="shared" si="2"/>
        <v>0</v>
      </c>
      <c r="AJ11" s="6" t="e">
        <f t="shared" si="3"/>
        <v>#DIV/0!</v>
      </c>
      <c r="AK11" s="6" t="e">
        <f>SUM(AJ8:AJ11)</f>
        <v>#DIV/0!</v>
      </c>
      <c r="AM11" s="528" t="s">
        <v>36</v>
      </c>
      <c r="AN11" s="527" t="str">
        <f>IF('2 Aggregate System'!B29=0,"-",(($AP$41/100)*'2 Aggregate System'!B29))</f>
        <v>-</v>
      </c>
      <c r="AO11" s="527" t="str">
        <f>IF('2 Aggregate System'!C29=0,"-",(($AP$42/100)*'2 Aggregate System'!C29))</f>
        <v>-</v>
      </c>
      <c r="AP11" s="527" t="str">
        <f>IF('2 Aggregate System'!D29=0,"-",(($AP$43/100)*'2 Aggregate System'!D29))</f>
        <v>-</v>
      </c>
      <c r="AQ11" s="527" t="str">
        <f>IF('2 Aggregate System'!E29=0,"-",(($AP$44/100)*'2 Aggregate System'!E29))</f>
        <v>-</v>
      </c>
      <c r="AR11" s="527" t="str">
        <f>IF('2 Aggregate System'!F29=0,"-",(($AP$45/100)*'2 Aggregate System'!F29))</f>
        <v>-</v>
      </c>
      <c r="AS11" s="27">
        <f t="shared" si="0"/>
        <v>0</v>
      </c>
      <c r="AT11" s="27">
        <f t="shared" si="6"/>
        <v>0</v>
      </c>
      <c r="AV11" s="778">
        <f>SUM(AE8:AE11)</f>
        <v>0</v>
      </c>
      <c r="AW11" s="775">
        <f>SUM(AF8:AF11)</f>
        <v>0</v>
      </c>
      <c r="AX11" s="775" t="e">
        <f t="shared" si="1"/>
        <v>#DIV/0!</v>
      </c>
      <c r="AY11" s="779" t="e">
        <f>SUM(AX8:AX11)</f>
        <v>#DIV/0!</v>
      </c>
    </row>
    <row r="12" spans="1:51" x14ac:dyDescent="0.3">
      <c r="C12" s="24" t="str">
        <f>'6 Agg Analysis'!B30</f>
        <v>1"</v>
      </c>
      <c r="D12" s="24">
        <f>'6 Agg Analysis'!C30</f>
        <v>25</v>
      </c>
      <c r="E12" s="25">
        <f>'6 Agg Analysis'!D30</f>
        <v>4.2566996126039234</v>
      </c>
      <c r="F12" s="26">
        <f>'6 Agg Analysis'!E30</f>
        <v>0</v>
      </c>
      <c r="G12" s="26" t="e">
        <f>HLOOKUP($O$5,$N$6:$P$20,5)</f>
        <v>#REF!</v>
      </c>
      <c r="H12" s="26" t="e">
        <f t="shared" si="4"/>
        <v>#REF!</v>
      </c>
      <c r="I12" s="26" t="e">
        <f>SIGN(H12)*H12</f>
        <v>#REF!</v>
      </c>
      <c r="N12" s="29">
        <f t="shared" ref="N12:N20" si="8">(E14-$E$22)/($E$13-$E$22)*100</f>
        <v>80.246448516205689</v>
      </c>
      <c r="O12" s="29">
        <f t="shared" si="7"/>
        <v>71.086902986171779</v>
      </c>
      <c r="P12" s="29">
        <f t="shared" si="5"/>
        <v>58.460477651787777</v>
      </c>
      <c r="AA12" s="28" t="s">
        <v>37</v>
      </c>
      <c r="AB12" s="27">
        <f>IF('2 Aggregate System'!B30=0,0,('2 Aggregate System'!B29-'2 Aggregate System'!B30))</f>
        <v>0</v>
      </c>
      <c r="AC12" s="62">
        <f>IF('2 Aggregate System'!C30=0,0,('2 Aggregate System'!C29-'2 Aggregate System'!C30))</f>
        <v>0</v>
      </c>
      <c r="AD12" s="27">
        <f>IF('2 Aggregate System'!D30=0,0,('2 Aggregate System'!D29-'2 Aggregate System'!D30))</f>
        <v>0</v>
      </c>
      <c r="AE12" s="27">
        <f>IF('2 Aggregate System'!E30=0,0,('2 Aggregate System'!E29-'2 Aggregate System'!E30))</f>
        <v>0</v>
      </c>
      <c r="AF12" s="27">
        <f>IF('2 Aggregate System'!F30=0,0,('2 Aggregate System'!F29-'2 Aggregate System'!F30))</f>
        <v>0</v>
      </c>
      <c r="AH12" s="6">
        <f>SUM(AE8:AE12)</f>
        <v>0</v>
      </c>
      <c r="AI12" s="6">
        <f>SUM(AF8:AF12)</f>
        <v>0</v>
      </c>
      <c r="AJ12" s="6" t="e">
        <f t="shared" ref="AJ12:AJ18" si="9">(($AC$29/SUM($AC$29:$AC$30))*AE12+($AC$30/SUM($AC$29:$AC$30)*AF12))</f>
        <v>#DIV/0!</v>
      </c>
      <c r="AK12" s="6" t="e">
        <f>SUM(AJ8:AJ12)</f>
        <v>#DIV/0!</v>
      </c>
      <c r="AM12" s="528" t="s">
        <v>37</v>
      </c>
      <c r="AN12" s="527" t="str">
        <f>IF('2 Aggregate System'!B30=0,"-",(($AP$41/100)*'2 Aggregate System'!B30))</f>
        <v>-</v>
      </c>
      <c r="AO12" s="527" t="str">
        <f>IF('2 Aggregate System'!C30=0,"-",(($AP$42/100)*'2 Aggregate System'!C30))</f>
        <v>-</v>
      </c>
      <c r="AP12" s="527" t="str">
        <f>IF('2 Aggregate System'!D30=0,"-",(($AP$43/100)*'2 Aggregate System'!D30))</f>
        <v>-</v>
      </c>
      <c r="AQ12" s="527" t="str">
        <f>IF('2 Aggregate System'!E30=0,"-",(($AP$44/100)*'2 Aggregate System'!E30))</f>
        <v>-</v>
      </c>
      <c r="AR12" s="527" t="str">
        <f>IF('2 Aggregate System'!F30=0,"-",(($AP$45/100)*'2 Aggregate System'!F30))</f>
        <v>-</v>
      </c>
      <c r="AS12" s="27">
        <f t="shared" si="0"/>
        <v>0</v>
      </c>
      <c r="AT12" s="27">
        <f t="shared" si="6"/>
        <v>0</v>
      </c>
      <c r="AV12" s="778">
        <f>SUM(AE8:AE12)</f>
        <v>0</v>
      </c>
      <c r="AW12" s="775">
        <f>SUM(AF8:AF12)</f>
        <v>0</v>
      </c>
      <c r="AX12" s="775" t="e">
        <f t="shared" si="1"/>
        <v>#DIV/0!</v>
      </c>
      <c r="AY12" s="779" t="e">
        <f>SUM(AX8:AX12)</f>
        <v>#DIV/0!</v>
      </c>
    </row>
    <row r="13" spans="1:51" x14ac:dyDescent="0.3">
      <c r="C13" s="24" t="str">
        <f>'6 Agg Analysis'!B31</f>
        <v>3/4"</v>
      </c>
      <c r="D13" s="24">
        <f>'6 Agg Analysis'!C31</f>
        <v>19.5</v>
      </c>
      <c r="E13" s="25">
        <f>'6 Agg Analysis'!D31</f>
        <v>3.8064100829378442</v>
      </c>
      <c r="F13" s="26">
        <f>'6 Agg Analysis'!E31</f>
        <v>0</v>
      </c>
      <c r="G13" s="26" t="e">
        <f>HLOOKUP($O$5,$N$6:$P$20,6)</f>
        <v>#REF!</v>
      </c>
      <c r="H13" s="26" t="e">
        <f t="shared" si="4"/>
        <v>#REF!</v>
      </c>
      <c r="I13" s="26" t="e">
        <f t="shared" ref="I13:I22" si="10">SIGN(H13)*H13</f>
        <v>#REF!</v>
      </c>
      <c r="N13" s="29">
        <f t="shared" si="8"/>
        <v>69.887493946498353</v>
      </c>
      <c r="O13" s="29">
        <f t="shared" si="7"/>
        <v>61.910347360956365</v>
      </c>
      <c r="P13" s="29">
        <f t="shared" si="5"/>
        <v>50.913857915763408</v>
      </c>
      <c r="AA13" s="28" t="s">
        <v>38</v>
      </c>
      <c r="AB13" s="27">
        <f>IF('2 Aggregate System'!B31=0,0,('2 Aggregate System'!B30-'2 Aggregate System'!B31))</f>
        <v>0</v>
      </c>
      <c r="AC13" s="62">
        <f>IF('2 Aggregate System'!C31=0,0,('2 Aggregate System'!C30-'2 Aggregate System'!C31))</f>
        <v>0</v>
      </c>
      <c r="AD13" s="27">
        <f>IF('2 Aggregate System'!D31=0,0,('2 Aggregate System'!D30-'2 Aggregate System'!D31))</f>
        <v>0</v>
      </c>
      <c r="AE13" s="27">
        <f>IF('2 Aggregate System'!E31=0,0,('2 Aggregate System'!E30-'2 Aggregate System'!E31))</f>
        <v>0</v>
      </c>
      <c r="AF13" s="27">
        <f>IF('2 Aggregate System'!F31=0,0,('2 Aggregate System'!F30-'2 Aggregate System'!F31))</f>
        <v>0</v>
      </c>
      <c r="AH13" s="6">
        <f>SUM(AE8:AE13)</f>
        <v>0</v>
      </c>
      <c r="AI13" s="6">
        <f>SUM(AF8:AF13)</f>
        <v>0</v>
      </c>
      <c r="AJ13" s="6" t="e">
        <f t="shared" si="9"/>
        <v>#DIV/0!</v>
      </c>
      <c r="AK13" s="6" t="e">
        <f>SUM(AJ8:AJ13)</f>
        <v>#DIV/0!</v>
      </c>
      <c r="AM13" s="528" t="s">
        <v>38</v>
      </c>
      <c r="AN13" s="527" t="str">
        <f>IF('2 Aggregate System'!B31=0,"-",(($AP$41/100)*'2 Aggregate System'!B31))</f>
        <v>-</v>
      </c>
      <c r="AO13" s="527" t="str">
        <f>IF('2 Aggregate System'!C31=0,"-",(($AP$42/100)*'2 Aggregate System'!C31))</f>
        <v>-</v>
      </c>
      <c r="AP13" s="527" t="str">
        <f>IF('2 Aggregate System'!D31=0,"-",(($AP$43/100)*'2 Aggregate System'!D31))</f>
        <v>-</v>
      </c>
      <c r="AQ13" s="527" t="str">
        <f>IF('2 Aggregate System'!E31=0,"-",(($AP$44/100)*'2 Aggregate System'!E31))</f>
        <v>-</v>
      </c>
      <c r="AR13" s="527" t="str">
        <f>IF('2 Aggregate System'!F31=0,"-",(($AP$45/100)*'2 Aggregate System'!F31))</f>
        <v>-</v>
      </c>
      <c r="AS13" s="27">
        <f t="shared" si="0"/>
        <v>0</v>
      </c>
      <c r="AT13" s="27">
        <f t="shared" si="6"/>
        <v>0</v>
      </c>
      <c r="AV13" s="778">
        <f>SUM(AE8:AE13)</f>
        <v>0</v>
      </c>
      <c r="AW13" s="775">
        <f>SUM(AF8:AF13)</f>
        <v>0</v>
      </c>
      <c r="AX13" s="775" t="e">
        <f t="shared" si="1"/>
        <v>#DIV/0!</v>
      </c>
      <c r="AY13" s="779" t="e">
        <f>SUM(AX8:AX13)</f>
        <v>#DIV/0!</v>
      </c>
    </row>
    <row r="14" spans="1:51" x14ac:dyDescent="0.3">
      <c r="C14" s="24" t="str">
        <f>'6 Agg Analysis'!B32</f>
        <v>1/2"</v>
      </c>
      <c r="D14" s="24">
        <f>'6 Agg Analysis'!C32</f>
        <v>12.5</v>
      </c>
      <c r="E14" s="25">
        <f>'6 Agg Analysis'!D32</f>
        <v>3.116086507375345</v>
      </c>
      <c r="F14" s="26">
        <f>'6 Agg Analysis'!E32</f>
        <v>0</v>
      </c>
      <c r="G14" s="26" t="e">
        <f>HLOOKUP($O$5,$N$6:$P$20,7)</f>
        <v>#REF!</v>
      </c>
      <c r="H14" s="26" t="e">
        <f t="shared" si="4"/>
        <v>#REF!</v>
      </c>
      <c r="I14" s="26" t="e">
        <f t="shared" si="10"/>
        <v>#REF!</v>
      </c>
      <c r="N14" s="29">
        <f t="shared" si="8"/>
        <v>48.770433705987244</v>
      </c>
      <c r="O14" s="29">
        <f t="shared" si="7"/>
        <v>43.203645189991093</v>
      </c>
      <c r="P14" s="29">
        <f t="shared" si="5"/>
        <v>35.529832191403202</v>
      </c>
      <c r="AA14" s="28" t="s">
        <v>39</v>
      </c>
      <c r="AB14" s="27">
        <f>IF('2 Aggregate System'!B32=0,0,('2 Aggregate System'!B31-'2 Aggregate System'!B32))</f>
        <v>0</v>
      </c>
      <c r="AC14" s="62">
        <f>IF('2 Aggregate System'!C32=0,0,('2 Aggregate System'!C31-'2 Aggregate System'!C32))</f>
        <v>0</v>
      </c>
      <c r="AD14" s="27">
        <f>IF('2 Aggregate System'!D32=0,0,('2 Aggregate System'!D31-'2 Aggregate System'!D32))</f>
        <v>0</v>
      </c>
      <c r="AE14" s="27">
        <f>IF('2 Aggregate System'!E32=0,0,('2 Aggregate System'!E31-'2 Aggregate System'!E32))</f>
        <v>0</v>
      </c>
      <c r="AF14" s="27">
        <f>IF('2 Aggregate System'!F32=0,0,('2 Aggregate System'!F31-'2 Aggregate System'!F32))</f>
        <v>0</v>
      </c>
      <c r="AH14" s="6">
        <f>SUM(AE8:AE14)</f>
        <v>0</v>
      </c>
      <c r="AI14" s="6">
        <f>SUM(AF8:AF14)</f>
        <v>0</v>
      </c>
      <c r="AJ14" s="6" t="e">
        <f t="shared" si="9"/>
        <v>#DIV/0!</v>
      </c>
      <c r="AK14" s="6" t="e">
        <f>SUM(AJ8:AJ14)</f>
        <v>#DIV/0!</v>
      </c>
      <c r="AM14" s="528" t="s">
        <v>39</v>
      </c>
      <c r="AN14" s="527" t="str">
        <f>IF('2 Aggregate System'!B32=0,"-",(($AP$41/100)*'2 Aggregate System'!B32))</f>
        <v>-</v>
      </c>
      <c r="AO14" s="527" t="str">
        <f>IF('2 Aggregate System'!C32=0,"-",(($AP$42/100)*'2 Aggregate System'!C32))</f>
        <v>-</v>
      </c>
      <c r="AP14" s="527" t="str">
        <f>IF('2 Aggregate System'!D32=0,"-",(($AP$43/100)*'2 Aggregate System'!D32))</f>
        <v>-</v>
      </c>
      <c r="AQ14" s="527" t="str">
        <f>IF('2 Aggregate System'!E32=0,"-",(($AP$44/100)*'2 Aggregate System'!E32))</f>
        <v>-</v>
      </c>
      <c r="AR14" s="527" t="str">
        <f>IF('2 Aggregate System'!F32=0,"-",(($AP$45/100)*'2 Aggregate System'!F32))</f>
        <v>-</v>
      </c>
      <c r="AS14" s="27">
        <f t="shared" si="0"/>
        <v>0</v>
      </c>
      <c r="AT14" s="27">
        <f t="shared" si="6"/>
        <v>0</v>
      </c>
      <c r="AV14" s="778">
        <f>SUM(AE8:AE14)</f>
        <v>0</v>
      </c>
      <c r="AW14" s="775">
        <f>SUM(AF8:AF14)</f>
        <v>0</v>
      </c>
      <c r="AX14" s="775" t="e">
        <f t="shared" si="1"/>
        <v>#DIV/0!</v>
      </c>
      <c r="AY14" s="779" t="e">
        <f>SUM(AX8:AX14)</f>
        <v>#DIV/0!</v>
      </c>
    </row>
    <row r="15" spans="1:51" x14ac:dyDescent="0.3">
      <c r="C15" s="24" t="str">
        <f>'6 Agg Analysis'!B33</f>
        <v>3/8"</v>
      </c>
      <c r="D15" s="24">
        <f>'6 Agg Analysis'!C33</f>
        <v>9.5</v>
      </c>
      <c r="E15" s="25">
        <f>'6 Agg Analysis'!D33</f>
        <v>2.754074108566122</v>
      </c>
      <c r="F15" s="26">
        <f>'6 Agg Analysis'!E33</f>
        <v>0</v>
      </c>
      <c r="G15" s="26" t="e">
        <f>HLOOKUP($O$5,$N$6:$P$20,8)</f>
        <v>#REF!</v>
      </c>
      <c r="H15" s="26" t="e">
        <f t="shared" si="4"/>
        <v>#REF!</v>
      </c>
      <c r="I15" s="26" t="e">
        <f t="shared" si="10"/>
        <v>#REF!</v>
      </c>
      <c r="N15" s="29">
        <f t="shared" si="8"/>
        <v>33.191603994266536</v>
      </c>
      <c r="O15" s="29">
        <f t="shared" si="7"/>
        <v>29.403025015111549</v>
      </c>
      <c r="P15" s="29">
        <f t="shared" si="5"/>
        <v>24.180472275255237</v>
      </c>
      <c r="AA15" s="28" t="s">
        <v>40</v>
      </c>
      <c r="AB15" s="27">
        <f>IF('2 Aggregate System'!B33=0,0,('2 Aggregate System'!B32-'2 Aggregate System'!B33))</f>
        <v>0</v>
      </c>
      <c r="AC15" s="62">
        <f>IF('2 Aggregate System'!C33=0,0,('2 Aggregate System'!C32-'2 Aggregate System'!C33))</f>
        <v>0</v>
      </c>
      <c r="AD15" s="27">
        <f>IF('2 Aggregate System'!D33=0,0,('2 Aggregate System'!D32-'2 Aggregate System'!D33))</f>
        <v>0</v>
      </c>
      <c r="AE15" s="27">
        <f>IF('2 Aggregate System'!E33=0,0,('2 Aggregate System'!E32-'2 Aggregate System'!E33))</f>
        <v>0</v>
      </c>
      <c r="AF15" s="27">
        <f>IF('2 Aggregate System'!F33=0,0,('2 Aggregate System'!F32-'2 Aggregate System'!F33))</f>
        <v>0</v>
      </c>
      <c r="AH15" s="6">
        <f>SUM(AE8:AE15)</f>
        <v>0</v>
      </c>
      <c r="AI15" s="6">
        <f>SUM(AF8:AF15)</f>
        <v>0</v>
      </c>
      <c r="AJ15" s="6" t="e">
        <f>(($AC$29/SUM($AC$29:$AC$30))*AE15+($AC$30/SUM($AC$29:$AC$30)*AF15))</f>
        <v>#DIV/0!</v>
      </c>
      <c r="AK15" s="6" t="e">
        <f>SUM(AJ8:AJ15)</f>
        <v>#DIV/0!</v>
      </c>
      <c r="AM15" s="528" t="s">
        <v>40</v>
      </c>
      <c r="AN15" s="527" t="str">
        <f>IF('2 Aggregate System'!B33=0,"-",(($AP$41/100)*'2 Aggregate System'!B33))</f>
        <v>-</v>
      </c>
      <c r="AO15" s="527" t="str">
        <f>IF('2 Aggregate System'!C33=0,"-",(($AP$42/100)*'2 Aggregate System'!C33))</f>
        <v>-</v>
      </c>
      <c r="AP15" s="527" t="str">
        <f>IF('2 Aggregate System'!D33=0,"-",(($AP$43/100)*'2 Aggregate System'!D33))</f>
        <v>-</v>
      </c>
      <c r="AQ15" s="527" t="str">
        <f>IF('2 Aggregate System'!E33=0,"-",(($AP$44/100)*'2 Aggregate System'!E33))</f>
        <v>-</v>
      </c>
      <c r="AR15" s="527" t="str">
        <f>IF('2 Aggregate System'!F33=0,"-",(($AP$45/100)*'2 Aggregate System'!F33))</f>
        <v>-</v>
      </c>
      <c r="AS15" s="27">
        <f t="shared" si="0"/>
        <v>0</v>
      </c>
      <c r="AT15" s="27">
        <f t="shared" si="6"/>
        <v>0</v>
      </c>
      <c r="AV15" s="778">
        <f>SUM(AE8:AE15)</f>
        <v>0</v>
      </c>
      <c r="AW15" s="775">
        <f>SUM(AF8:AF15)</f>
        <v>0</v>
      </c>
      <c r="AX15" s="775" t="e">
        <f t="shared" si="1"/>
        <v>#DIV/0!</v>
      </c>
      <c r="AY15" s="779" t="e">
        <f>SUM(AX8:AX15)</f>
        <v>#DIV/0!</v>
      </c>
    </row>
    <row r="16" spans="1:51" x14ac:dyDescent="0.3">
      <c r="C16" s="24" t="str">
        <f>'6 Agg Analysis'!B34</f>
        <v># 4</v>
      </c>
      <c r="D16" s="24">
        <f>'6 Agg Analysis'!C34</f>
        <v>4.75</v>
      </c>
      <c r="E16" s="25">
        <f>'6 Agg Analysis'!D34</f>
        <v>2.0161002539629291</v>
      </c>
      <c r="F16" s="26">
        <f>'6 Agg Analysis'!E34</f>
        <v>0</v>
      </c>
      <c r="G16" s="26" t="e">
        <f>HLOOKUP($O$5,$N$6:$P$20,9)</f>
        <v>#REF!</v>
      </c>
      <c r="H16" s="26" t="e">
        <f t="shared" si="4"/>
        <v>#REF!</v>
      </c>
      <c r="I16" s="26" t="e">
        <f t="shared" si="10"/>
        <v>#REF!</v>
      </c>
      <c r="N16" s="29">
        <f t="shared" si="8"/>
        <v>21.90746991645856</v>
      </c>
      <c r="O16" s="29">
        <f t="shared" si="7"/>
        <v>19.406892359968605</v>
      </c>
      <c r="P16" s="29">
        <f t="shared" si="5"/>
        <v>15.959848431170112</v>
      </c>
      <c r="AA16" s="28" t="s">
        <v>41</v>
      </c>
      <c r="AB16" s="27">
        <f>IF('2 Aggregate System'!B34=0,0,('2 Aggregate System'!B33-'2 Aggregate System'!B34))</f>
        <v>0</v>
      </c>
      <c r="AC16" s="62">
        <f>IF('2 Aggregate System'!C34=0,0,('2 Aggregate System'!C33-'2 Aggregate System'!C34))</f>
        <v>0</v>
      </c>
      <c r="AD16" s="27">
        <f>IF('2 Aggregate System'!D34=0,0,('2 Aggregate System'!D33-'2 Aggregate System'!D34))</f>
        <v>0</v>
      </c>
      <c r="AE16" s="27">
        <f>IF('2 Aggregate System'!E34=0,0,('2 Aggregate System'!E33-'2 Aggregate System'!E34))</f>
        <v>0</v>
      </c>
      <c r="AF16" s="27">
        <f>IF('2 Aggregate System'!F34=0,0,('2 Aggregate System'!F33-'2 Aggregate System'!F34))</f>
        <v>0</v>
      </c>
      <c r="AH16" s="6">
        <f>SUM(AE8:AE16)</f>
        <v>0</v>
      </c>
      <c r="AI16" s="6">
        <f>SUM(AF8:AF16)</f>
        <v>0</v>
      </c>
      <c r="AJ16" s="6" t="e">
        <f t="shared" si="9"/>
        <v>#DIV/0!</v>
      </c>
      <c r="AK16" s="6" t="e">
        <f>SUM(AJ8:AJ16)</f>
        <v>#DIV/0!</v>
      </c>
      <c r="AM16" s="528" t="s">
        <v>41</v>
      </c>
      <c r="AN16" s="527" t="str">
        <f>IF('2 Aggregate System'!B34=0,"-",(($AP$41/100)*'2 Aggregate System'!B34))</f>
        <v>-</v>
      </c>
      <c r="AO16" s="527" t="str">
        <f>IF('2 Aggregate System'!C34=0,"-",(($AP$42/100)*'2 Aggregate System'!C34))</f>
        <v>-</v>
      </c>
      <c r="AP16" s="527" t="str">
        <f>IF('2 Aggregate System'!D34=0,"-",(($AP$43/100)*'2 Aggregate System'!D34))</f>
        <v>-</v>
      </c>
      <c r="AQ16" s="527" t="str">
        <f>IF('2 Aggregate System'!E34=0,"-",(($AP$44/100)*'2 Aggregate System'!E34))</f>
        <v>-</v>
      </c>
      <c r="AR16" s="527" t="str">
        <f>IF('2 Aggregate System'!F34=0,"-",(($AP$45/100)*'2 Aggregate System'!F34))</f>
        <v>-</v>
      </c>
      <c r="AS16" s="27">
        <f t="shared" si="0"/>
        <v>0</v>
      </c>
      <c r="AT16" s="27">
        <f t="shared" si="6"/>
        <v>0</v>
      </c>
      <c r="AV16" s="778">
        <f>SUM(AE8:AE16)</f>
        <v>0</v>
      </c>
      <c r="AW16" s="775">
        <f>SUM(AF8:AF16)</f>
        <v>0</v>
      </c>
      <c r="AX16" s="775" t="e">
        <f t="shared" si="1"/>
        <v>#DIV/0!</v>
      </c>
      <c r="AY16" s="779" t="e">
        <f>SUM(AX8:AX16)</f>
        <v>#DIV/0!</v>
      </c>
    </row>
    <row r="17" spans="2:51" x14ac:dyDescent="0.3">
      <c r="C17" s="24" t="str">
        <f>'6 Agg Analysis'!B35</f>
        <v># 8</v>
      </c>
      <c r="D17" s="24">
        <f>'6 Agg Analysis'!C35</f>
        <v>2.36</v>
      </c>
      <c r="E17" s="25">
        <f>'6 Agg Analysis'!D35</f>
        <v>1.4716698795820382</v>
      </c>
      <c r="F17" s="26">
        <f>'6 Agg Analysis'!E35</f>
        <v>0</v>
      </c>
      <c r="G17" s="26" t="e">
        <f>HLOOKUP($O$5,$N$6:$P$20,10)</f>
        <v>#REF!</v>
      </c>
      <c r="H17" s="26" t="e">
        <f t="shared" si="4"/>
        <v>#REF!</v>
      </c>
      <c r="I17" s="26" t="e">
        <f t="shared" si="10"/>
        <v>#REF!</v>
      </c>
      <c r="N17" s="29">
        <f t="shared" si="8"/>
        <v>13.818326958807015</v>
      </c>
      <c r="O17" s="29">
        <f t="shared" si="7"/>
        <v>12.24106594266962</v>
      </c>
      <c r="P17" s="29">
        <f t="shared" si="5"/>
        <v>10.066813040296662</v>
      </c>
      <c r="AA17" s="28" t="s">
        <v>42</v>
      </c>
      <c r="AB17" s="27">
        <f>IF('2 Aggregate System'!B35=0,0,('2 Aggregate System'!B34-'2 Aggregate System'!B35))</f>
        <v>0</v>
      </c>
      <c r="AC17" s="62">
        <f>IF('2 Aggregate System'!C35=0,0,('2 Aggregate System'!C34-'2 Aggregate System'!C35))</f>
        <v>0</v>
      </c>
      <c r="AD17" s="27">
        <f>IF('2 Aggregate System'!D35=0,0,('2 Aggregate System'!D34-'2 Aggregate System'!D35))</f>
        <v>0</v>
      </c>
      <c r="AE17" s="27">
        <f>IF('2 Aggregate System'!E35=0,0,('2 Aggregate System'!E34-'2 Aggregate System'!E35))</f>
        <v>0</v>
      </c>
      <c r="AF17" s="27">
        <f>IF('2 Aggregate System'!F35=0,0,('2 Aggregate System'!F34-'2 Aggregate System'!F35))</f>
        <v>0</v>
      </c>
      <c r="AH17" s="6">
        <f>SUM(AE8:AE17)</f>
        <v>0</v>
      </c>
      <c r="AI17" s="6">
        <f>SUM(AF8:AF17)</f>
        <v>0</v>
      </c>
      <c r="AJ17" s="6" t="e">
        <f t="shared" si="9"/>
        <v>#DIV/0!</v>
      </c>
      <c r="AK17" s="6" t="e">
        <f>SUM(AJ8:AJ17)</f>
        <v>#DIV/0!</v>
      </c>
      <c r="AM17" s="528" t="s">
        <v>42</v>
      </c>
      <c r="AN17" s="527" t="str">
        <f>IF('2 Aggregate System'!B35=0,"-",(($AP$41/100)*'2 Aggregate System'!B35))</f>
        <v>-</v>
      </c>
      <c r="AO17" s="527" t="str">
        <f>IF('2 Aggregate System'!C35=0,"-",(($AP$42/100)*'2 Aggregate System'!C35))</f>
        <v>-</v>
      </c>
      <c r="AP17" s="527" t="str">
        <f>IF('2 Aggregate System'!D35=0,"-",(($AP$43/100)*'2 Aggregate System'!D35))</f>
        <v>-</v>
      </c>
      <c r="AQ17" s="527" t="str">
        <f>IF('2 Aggregate System'!E35=0,"-",(($AP$44/100)*'2 Aggregate System'!E35))</f>
        <v>-</v>
      </c>
      <c r="AR17" s="527" t="str">
        <f>IF('2 Aggregate System'!F35=0,"-",(($AP$45/100)*'2 Aggregate System'!F35))</f>
        <v>-</v>
      </c>
      <c r="AS17" s="27">
        <f t="shared" si="0"/>
        <v>0</v>
      </c>
      <c r="AT17" s="27">
        <f t="shared" si="6"/>
        <v>0</v>
      </c>
      <c r="AV17" s="778">
        <f>SUM(AE8:AE17)</f>
        <v>0</v>
      </c>
      <c r="AW17" s="775">
        <f>SUM(AF8:AF17)</f>
        <v>0</v>
      </c>
      <c r="AX17" s="775" t="e">
        <f t="shared" si="1"/>
        <v>#DIV/0!</v>
      </c>
      <c r="AY17" s="779" t="e">
        <f>SUM(AX8:AX17)</f>
        <v>#DIV/0!</v>
      </c>
    </row>
    <row r="18" spans="2:51" x14ac:dyDescent="0.3">
      <c r="C18" s="24" t="str">
        <f>'6 Agg Analysis'!B36</f>
        <v># 16</v>
      </c>
      <c r="D18" s="24">
        <f>'6 Agg Analysis'!C36</f>
        <v>1.18</v>
      </c>
      <c r="E18" s="25">
        <f>'6 Agg Analysis'!D36</f>
        <v>1.0773254099250416</v>
      </c>
      <c r="F18" s="26">
        <f>'6 Agg Analysis'!E36</f>
        <v>0</v>
      </c>
      <c r="G18" s="26" t="e">
        <f>HLOOKUP($O$5,$N$6:$P$20,11)</f>
        <v>#REF!</v>
      </c>
      <c r="H18" s="26" t="e">
        <f t="shared" si="4"/>
        <v>#REF!</v>
      </c>
      <c r="I18" s="26" t="e">
        <f t="shared" si="10"/>
        <v>#REF!</v>
      </c>
      <c r="N18" s="29">
        <f t="shared" si="8"/>
        <v>7.7254010208544814</v>
      </c>
      <c r="O18" s="29">
        <f t="shared" si="7"/>
        <v>6.843602963785365</v>
      </c>
      <c r="P18" s="29">
        <f t="shared" si="5"/>
        <v>5.6280451294932448</v>
      </c>
      <c r="AA18" s="28" t="s">
        <v>43</v>
      </c>
      <c r="AB18" s="27">
        <f>IF('2 Aggregate System'!B36=0,0,('2 Aggregate System'!B35-'2 Aggregate System'!B36))</f>
        <v>0</v>
      </c>
      <c r="AC18" s="62">
        <f>IF('2 Aggregate System'!C36=0,0,('2 Aggregate System'!C35-'2 Aggregate System'!C36))</f>
        <v>0</v>
      </c>
      <c r="AD18" s="27">
        <f>IF('2 Aggregate System'!D36=0,0,('2 Aggregate System'!D35-'2 Aggregate System'!D36))</f>
        <v>0</v>
      </c>
      <c r="AE18" s="27">
        <f>IF('2 Aggregate System'!E36=0,0,('2 Aggregate System'!E35-'2 Aggregate System'!E36))</f>
        <v>0</v>
      </c>
      <c r="AF18" s="27">
        <f>IF('2 Aggregate System'!F36=0,0,('2 Aggregate System'!F35-'2 Aggregate System'!F36))</f>
        <v>0</v>
      </c>
      <c r="AH18" s="6">
        <f>SUM(AE8:AE18)</f>
        <v>0</v>
      </c>
      <c r="AI18" s="6">
        <f>SUM(AF8:AF18)</f>
        <v>0</v>
      </c>
      <c r="AJ18" s="6" t="e">
        <f t="shared" si="9"/>
        <v>#DIV/0!</v>
      </c>
      <c r="AK18" s="6" t="e">
        <f>SUM(AJ8:AJ18)</f>
        <v>#DIV/0!</v>
      </c>
      <c r="AM18" s="528" t="s">
        <v>43</v>
      </c>
      <c r="AN18" s="527" t="str">
        <f>IF('2 Aggregate System'!B36=0,"-",(($AP$41/100)*'2 Aggregate System'!B36))</f>
        <v>-</v>
      </c>
      <c r="AO18" s="527" t="str">
        <f>IF('2 Aggregate System'!C36=0,"-",(($AP$42/100)*'2 Aggregate System'!C36))</f>
        <v>-</v>
      </c>
      <c r="AP18" s="527" t="str">
        <f>IF('2 Aggregate System'!D36=0,"-",(($AP$43/100)*'2 Aggregate System'!D36))</f>
        <v>-</v>
      </c>
      <c r="AQ18" s="527" t="str">
        <f>IF('2 Aggregate System'!E36=0,"-",(($AP$44/100)*'2 Aggregate System'!E36))</f>
        <v>-</v>
      </c>
      <c r="AR18" s="527" t="str">
        <f>IF('2 Aggregate System'!F36=0,"-",(($AP$45/100)*'2 Aggregate System'!F36))</f>
        <v>-</v>
      </c>
      <c r="AS18" s="27">
        <f t="shared" si="0"/>
        <v>0</v>
      </c>
      <c r="AT18" s="27">
        <f t="shared" si="6"/>
        <v>0</v>
      </c>
      <c r="AV18" s="778">
        <f>SUM(AE8:AE18)</f>
        <v>0</v>
      </c>
      <c r="AW18" s="775">
        <f>SUM(AF8:AF18)</f>
        <v>0</v>
      </c>
      <c r="AX18" s="775" t="e">
        <f t="shared" si="1"/>
        <v>#DIV/0!</v>
      </c>
      <c r="AY18" s="779" t="e">
        <f>SUM(AX8:AX18)</f>
        <v>#DIV/0!</v>
      </c>
    </row>
    <row r="19" spans="2:51" x14ac:dyDescent="0.3">
      <c r="C19" s="24" t="str">
        <f>'6 Agg Analysis'!B37</f>
        <v># 30</v>
      </c>
      <c r="D19" s="24">
        <f>'6 Agg Analysis'!C37</f>
        <v>0.6</v>
      </c>
      <c r="E19" s="25">
        <f>'6 Agg Analysis'!D37</f>
        <v>0.79463568224020453</v>
      </c>
      <c r="F19" s="26">
        <f>'6 Agg Analysis'!E37</f>
        <v>0</v>
      </c>
      <c r="G19" s="26" t="e">
        <f>HLOOKUP($O$5,$N$6:$P$20,12)</f>
        <v>#REF!</v>
      </c>
      <c r="H19" s="26" t="e">
        <f t="shared" si="4"/>
        <v>#REF!</v>
      </c>
      <c r="I19" s="26" t="e">
        <f t="shared" si="10"/>
        <v>#REF!</v>
      </c>
      <c r="N19" s="29">
        <f t="shared" si="8"/>
        <v>3.2651181647482868</v>
      </c>
      <c r="O19" s="29">
        <f t="shared" si="7"/>
        <v>2.8924287928951138</v>
      </c>
      <c r="P19" s="29">
        <f t="shared" si="5"/>
        <v>2.3786768265783804</v>
      </c>
      <c r="AA19" s="28" t="s">
        <v>44</v>
      </c>
      <c r="AB19" s="27">
        <f>IF('2 Aggregate System'!B37=0,0,('2 Aggregate System'!B36-'2 Aggregate System'!B37))</f>
        <v>0</v>
      </c>
      <c r="AC19" s="62">
        <f>IF('2 Aggregate System'!C37=0,0,('2 Aggregate System'!C36-'2 Aggregate System'!C37))</f>
        <v>0</v>
      </c>
      <c r="AD19" s="27">
        <f>IF('2 Aggregate System'!D37=0,0,('2 Aggregate System'!D36-'2 Aggregate System'!D37))</f>
        <v>0</v>
      </c>
      <c r="AE19" s="27">
        <f>IF('2 Aggregate System'!E37=0,0,('2 Aggregate System'!E36-'2 Aggregate System'!E37))</f>
        <v>0</v>
      </c>
      <c r="AF19" s="27">
        <f>IF('2 Aggregate System'!F37=0,0,('2 Aggregate System'!F36-'2 Aggregate System'!F37))</f>
        <v>0</v>
      </c>
      <c r="AH19" s="6">
        <f>SUM(AE8:AE19)</f>
        <v>0</v>
      </c>
      <c r="AI19" s="6">
        <f>SUM(AF8:AF19)</f>
        <v>0</v>
      </c>
      <c r="AJ19" s="6" t="e">
        <f>(($AC$29/SUM($AC$29:$AC$30))*AE19+($AC$30/SUM($AC$29:$AC$30)*AF19))</f>
        <v>#DIV/0!</v>
      </c>
      <c r="AK19" s="6" t="e">
        <f>SUM(AJ8:AJ19)</f>
        <v>#DIV/0!</v>
      </c>
      <c r="AM19" s="528" t="s">
        <v>44</v>
      </c>
      <c r="AN19" s="527" t="str">
        <f>IF('2 Aggregate System'!B37=0,"-",(($AP$41/100)*'2 Aggregate System'!B37))</f>
        <v>-</v>
      </c>
      <c r="AO19" s="527" t="str">
        <f>IF('2 Aggregate System'!C37=0,"-",(($AP$42/100)*'2 Aggregate System'!C37))</f>
        <v>-</v>
      </c>
      <c r="AP19" s="527" t="str">
        <f>IF('2 Aggregate System'!D37=0,"-",(($AP$43/100)*'2 Aggregate System'!D37))</f>
        <v>-</v>
      </c>
      <c r="AQ19" s="527" t="str">
        <f>IF('2 Aggregate System'!E37=0,"-",(($AP$44/100)*'2 Aggregate System'!E37))</f>
        <v>-</v>
      </c>
      <c r="AR19" s="527" t="str">
        <f>IF('2 Aggregate System'!F37=0,"-",(($AP$45/100)*'2 Aggregate System'!F37))</f>
        <v>-</v>
      </c>
      <c r="AS19" s="27">
        <f t="shared" si="0"/>
        <v>0</v>
      </c>
      <c r="AT19" s="27">
        <f t="shared" si="6"/>
        <v>0</v>
      </c>
      <c r="AV19" s="778">
        <f>SUM(AE8:AE19)</f>
        <v>0</v>
      </c>
      <c r="AW19" s="775">
        <f>SUM(AF8:AF19)</f>
        <v>0</v>
      </c>
      <c r="AX19" s="775" t="e">
        <f t="shared" si="1"/>
        <v>#DIV/0!</v>
      </c>
      <c r="AY19" s="779" t="e">
        <f>SUM(AX8:AX19)</f>
        <v>#DIV/0!</v>
      </c>
    </row>
    <row r="20" spans="2:51" ht="16.2" thickBot="1" x14ac:dyDescent="0.35">
      <c r="C20" s="24" t="str">
        <f>'6 Agg Analysis'!B38</f>
        <v># 50</v>
      </c>
      <c r="D20" s="24">
        <f>'6 Agg Analysis'!C38</f>
        <v>0.3</v>
      </c>
      <c r="E20" s="25">
        <f>'6 Agg Analysis'!D38</f>
        <v>0.58170736792793831</v>
      </c>
      <c r="F20" s="26">
        <f>'6 Agg Analysis'!E38</f>
        <v>0</v>
      </c>
      <c r="G20" s="26" t="e">
        <f>HLOOKUP($O$5,$N$6:$P$20,13)</f>
        <v>#REF!</v>
      </c>
      <c r="H20" s="26" t="e">
        <f t="shared" si="4"/>
        <v>#REF!</v>
      </c>
      <c r="I20" s="26" t="e">
        <f t="shared" si="10"/>
        <v>#REF!</v>
      </c>
      <c r="N20" s="29">
        <f t="shared" si="8"/>
        <v>0</v>
      </c>
      <c r="O20" s="29">
        <f t="shared" si="7"/>
        <v>0</v>
      </c>
      <c r="P20" s="29">
        <f t="shared" si="5"/>
        <v>0</v>
      </c>
      <c r="AA20" s="33" t="s">
        <v>45</v>
      </c>
      <c r="AB20" s="34">
        <f>IF('2 Aggregate System'!B38=0,0,('2 Aggregate System'!B37-'2 Aggregate System'!B38))</f>
        <v>0</v>
      </c>
      <c r="AC20" s="71">
        <f>IF('2 Aggregate System'!C38=0,0,('2 Aggregate System'!C37-'2 Aggregate System'!C38))</f>
        <v>0</v>
      </c>
      <c r="AD20" s="34">
        <f>IF('2 Aggregate System'!D38=0,0,('2 Aggregate System'!D37-'2 Aggregate System'!D38))</f>
        <v>0</v>
      </c>
      <c r="AE20" s="34">
        <f>IF('2 Aggregate System'!E38=0,0,('2 Aggregate System'!E37-'2 Aggregate System'!E38))</f>
        <v>0</v>
      </c>
      <c r="AF20" s="34">
        <f>IF('2 Aggregate System'!F38=0,0,('2 Aggregate System'!F37-'2 Aggregate System'!F38))</f>
        <v>0</v>
      </c>
      <c r="AH20" s="6">
        <f>SUM(AH13:AH19)/100</f>
        <v>0</v>
      </c>
      <c r="AI20" s="6">
        <f>SUM(AI13:AI19)/100</f>
        <v>0</v>
      </c>
      <c r="AJ20" s="6"/>
      <c r="AK20" s="5" t="e">
        <f>SUM(AK13:AK19)/100</f>
        <v>#DIV/0!</v>
      </c>
      <c r="AM20" s="529" t="s">
        <v>45</v>
      </c>
      <c r="AN20" s="530" t="str">
        <f>IF('2 Aggregate System'!B38=0,"-",(($AP$41/100)*'2 Aggregate System'!B38))</f>
        <v>-</v>
      </c>
      <c r="AO20" s="530" t="str">
        <f>IF('2 Aggregate System'!C38=0,"-",(($AP$42/100)*'2 Aggregate System'!C38))</f>
        <v>-</v>
      </c>
      <c r="AP20" s="530" t="str">
        <f>IF('2 Aggregate System'!D38="","-",(($AP$43/100)*'2 Aggregate System'!D38))</f>
        <v>-</v>
      </c>
      <c r="AQ20" s="530" t="str">
        <f>IF('2 Aggregate System'!E38=0,"-",(($AP$44/100)*'2 Aggregate System'!E38))</f>
        <v>-</v>
      </c>
      <c r="AR20" s="530" t="str">
        <f>IF('2 Aggregate System'!F38=0,"-",(($AP$45/100)*'2 Aggregate System'!F38))</f>
        <v>-</v>
      </c>
      <c r="AS20" s="34">
        <f t="shared" si="0"/>
        <v>0</v>
      </c>
      <c r="AT20" s="34">
        <f t="shared" si="6"/>
        <v>0</v>
      </c>
      <c r="AV20" s="780">
        <f>SUM(AV13:AV19)/100</f>
        <v>0</v>
      </c>
      <c r="AW20" s="781">
        <f>SUM(AW13:AW19)/100</f>
        <v>0</v>
      </c>
      <c r="AX20" s="781"/>
      <c r="AY20" s="782" t="e">
        <f>SUM(AY13:AY19)/100</f>
        <v>#DIV/0!</v>
      </c>
    </row>
    <row r="21" spans="2:51" ht="16.2" thickBot="1" x14ac:dyDescent="0.35">
      <c r="C21" s="24" t="str">
        <f>'6 Agg Analysis'!B39</f>
        <v># 100</v>
      </c>
      <c r="D21" s="24">
        <f>'6 Agg Analysis'!C39</f>
        <v>0.15</v>
      </c>
      <c r="E21" s="25">
        <f>'6 Agg Analysis'!D39</f>
        <v>0.42583471830473674</v>
      </c>
      <c r="F21" s="26">
        <f>'6 Agg Analysis'!E39</f>
        <v>0</v>
      </c>
      <c r="G21" s="26" t="e">
        <f>HLOOKUP($O$5,$N$6:$P$20,14)</f>
        <v>#REF!</v>
      </c>
      <c r="H21" s="26" t="e">
        <f t="shared" si="4"/>
        <v>#REF!</v>
      </c>
      <c r="I21" s="26" t="e">
        <f t="shared" si="10"/>
        <v>#REF!</v>
      </c>
      <c r="N21" s="11"/>
      <c r="O21" s="11"/>
      <c r="P21" s="11"/>
      <c r="AK21" s="6"/>
    </row>
    <row r="22" spans="2:51" ht="16.2" thickBot="1" x14ac:dyDescent="0.35">
      <c r="C22" s="30" t="str">
        <f>'6 Agg Analysis'!B40</f>
        <v># 200</v>
      </c>
      <c r="D22" s="30">
        <f>'6 Agg Analysis'!C40</f>
        <v>7.4999999999999997E-2</v>
      </c>
      <c r="E22" s="31">
        <f>'6 Agg Analysis'!D40</f>
        <v>0.31172925995349998</v>
      </c>
      <c r="F22" s="32">
        <f>'6 Agg Analysis'!E40</f>
        <v>0</v>
      </c>
      <c r="G22" s="26" t="e">
        <f>HLOOKUP($O$5,$N$6:$P$20,15)</f>
        <v>#REF!</v>
      </c>
      <c r="H22" s="32" t="e">
        <f t="shared" si="4"/>
        <v>#REF!</v>
      </c>
      <c r="I22" s="32" t="e">
        <f t="shared" si="10"/>
        <v>#REF!</v>
      </c>
      <c r="AM22" s="1370" t="s">
        <v>380</v>
      </c>
      <c r="AN22" s="1371"/>
      <c r="AO22" s="1371"/>
      <c r="AP22" s="1371"/>
      <c r="AQ22" s="1371"/>
      <c r="AR22" s="1372"/>
    </row>
    <row r="23" spans="2:51" ht="16.2" thickBot="1" x14ac:dyDescent="0.35">
      <c r="C23" s="30"/>
      <c r="D23" s="30"/>
      <c r="E23" s="30"/>
      <c r="F23" s="30"/>
      <c r="G23" s="11"/>
      <c r="H23" s="32" t="e">
        <f>SUM(H10:H22)</f>
        <v>#REF!</v>
      </c>
      <c r="I23" s="32" t="e">
        <f>SUM(I10:I22)</f>
        <v>#REF!</v>
      </c>
      <c r="J23" s="35" t="s">
        <v>93</v>
      </c>
      <c r="K23" s="36"/>
      <c r="L23" s="35" t="s">
        <v>94</v>
      </c>
      <c r="M23" s="36"/>
      <c r="N23" s="35" t="s">
        <v>95</v>
      </c>
      <c r="O23" s="36"/>
      <c r="P23" s="35" t="s">
        <v>96</v>
      </c>
      <c r="Q23" s="36"/>
      <c r="R23" s="1379" t="s">
        <v>240</v>
      </c>
      <c r="S23" s="1362"/>
      <c r="T23" s="37"/>
      <c r="U23" s="37"/>
      <c r="AG23" s="11"/>
      <c r="AH23" s="1373" t="s">
        <v>591</v>
      </c>
      <c r="AI23" s="1373"/>
      <c r="AJ23" s="1373"/>
      <c r="AM23" s="543" t="s">
        <v>90</v>
      </c>
      <c r="AN23" s="543" t="s">
        <v>381</v>
      </c>
      <c r="AO23" s="543" t="s">
        <v>382</v>
      </c>
      <c r="AP23" s="543" t="s">
        <v>383</v>
      </c>
      <c r="AQ23" s="543" t="s">
        <v>384</v>
      </c>
      <c r="AR23" s="543" t="s">
        <v>385</v>
      </c>
    </row>
    <row r="24" spans="2:51" x14ac:dyDescent="0.3">
      <c r="J24" s="38"/>
      <c r="K24" s="39"/>
      <c r="L24" s="38"/>
      <c r="M24" s="39"/>
      <c r="N24" s="38"/>
      <c r="O24" s="39"/>
      <c r="P24" s="38"/>
      <c r="Q24" s="39"/>
      <c r="AC24" s="1362" t="s">
        <v>217</v>
      </c>
      <c r="AD24" s="1362"/>
      <c r="AE24" s="1362"/>
      <c r="AG24" s="11"/>
      <c r="AH24" s="11" t="s">
        <v>184</v>
      </c>
      <c r="AI24" s="11" t="s">
        <v>185</v>
      </c>
      <c r="AJ24" s="11"/>
      <c r="AL24" s="526" t="s">
        <v>33</v>
      </c>
      <c r="AM24" s="539">
        <f t="shared" ref="AM24:AM36" si="11">AT8</f>
        <v>100</v>
      </c>
      <c r="AN24" s="541">
        <f>IF(AM24&gt;P26,AM24-P26,0)</f>
        <v>100</v>
      </c>
      <c r="AO24" s="541">
        <f>IF(AN24&gt;Q26,AN24-Q26,0)</f>
        <v>100</v>
      </c>
      <c r="AP24" s="541">
        <v>0</v>
      </c>
      <c r="AQ24" s="539">
        <f>AP24-AM24</f>
        <v>-100</v>
      </c>
      <c r="AR24" s="539">
        <f>AQ24^2</f>
        <v>10000</v>
      </c>
    </row>
    <row r="25" spans="2:51" x14ac:dyDescent="0.3">
      <c r="B25" s="35" t="s">
        <v>30</v>
      </c>
      <c r="C25" s="36" t="s">
        <v>88</v>
      </c>
      <c r="D25" s="22" t="s">
        <v>89</v>
      </c>
      <c r="E25" s="22" t="s">
        <v>90</v>
      </c>
      <c r="F25" s="35" t="s">
        <v>91</v>
      </c>
      <c r="G25" s="36"/>
      <c r="H25" s="35" t="s">
        <v>92</v>
      </c>
      <c r="I25" s="36" t="s">
        <v>92</v>
      </c>
      <c r="J25" s="38"/>
      <c r="K25" s="39"/>
      <c r="L25" s="38"/>
      <c r="M25" s="39"/>
      <c r="N25" s="38"/>
      <c r="O25" s="39"/>
      <c r="P25" s="38"/>
      <c r="Q25" s="39"/>
      <c r="R25" s="1" t="s">
        <v>241</v>
      </c>
      <c r="S25" s="1" t="s">
        <v>242</v>
      </c>
      <c r="AC25" s="1" t="s">
        <v>181</v>
      </c>
      <c r="AD25" s="1" t="s">
        <v>182</v>
      </c>
      <c r="AE25" s="1" t="s">
        <v>183</v>
      </c>
      <c r="AG25" s="766" t="s">
        <v>33</v>
      </c>
      <c r="AH25" s="767" t="e">
        <f>(('2 Aggregate System'!B26*($AE$26/SUM($AE$26:$AE$30)))+('2 Aggregate System'!C26*($AE$27/SUM($AE$26:$AE$30)))+('2 Aggregate System'!D26*($AE$28/SUM($AE$26:$AE$30)))+('2 Aggregate System'!E26*($AE$29/SUM($AE$26:$AE$30)))+('2 Aggregate System'!F26*($AE$30/SUM($AE$26:$AE$30))))/100</f>
        <v>#DIV/0!</v>
      </c>
      <c r="AI25" s="768" t="e">
        <f>1-AH25</f>
        <v>#DIV/0!</v>
      </c>
      <c r="AJ25" s="11" t="e">
        <f>AI25*100</f>
        <v>#DIV/0!</v>
      </c>
      <c r="AL25" s="528" t="s">
        <v>34</v>
      </c>
      <c r="AM25" s="539">
        <f t="shared" si="11"/>
        <v>0</v>
      </c>
      <c r="AN25" s="541">
        <f t="shared" ref="AN25:AN36" si="12">IF(AM25&gt;P27,AM25-P27,0)</f>
        <v>0</v>
      </c>
      <c r="AO25" s="541">
        <f t="shared" ref="AO25:AO36" si="13">IF(AN25&gt;Q27,AN25-Q27,0)</f>
        <v>0</v>
      </c>
      <c r="AP25" s="541">
        <f>AVERAGE(P27:Q27)</f>
        <v>2.5</v>
      </c>
      <c r="AQ25" s="539">
        <f t="shared" ref="AQ25:AQ36" si="14">AP25-AM25</f>
        <v>2.5</v>
      </c>
      <c r="AR25" s="539">
        <f t="shared" ref="AR25:AR36" si="15">AQ25^2</f>
        <v>6.25</v>
      </c>
    </row>
    <row r="26" spans="2:51" x14ac:dyDescent="0.3">
      <c r="B26" s="38"/>
      <c r="C26" s="39"/>
      <c r="D26" s="24"/>
      <c r="E26" s="24"/>
      <c r="F26" s="38"/>
      <c r="G26" s="39"/>
      <c r="H26" s="38" t="s">
        <v>97</v>
      </c>
      <c r="I26" s="39" t="s">
        <v>98</v>
      </c>
      <c r="J26" s="38">
        <v>100</v>
      </c>
      <c r="K26" s="39">
        <v>100</v>
      </c>
      <c r="L26" s="38">
        <v>100</v>
      </c>
      <c r="M26" s="39">
        <v>100</v>
      </c>
      <c r="N26" s="38">
        <v>0</v>
      </c>
      <c r="O26" s="43">
        <f>D28</f>
        <v>5.8148230317277987</v>
      </c>
      <c r="P26" s="44">
        <v>0</v>
      </c>
      <c r="Q26" s="45">
        <v>0</v>
      </c>
      <c r="R26" s="1">
        <v>100</v>
      </c>
      <c r="S26" s="10">
        <v>100</v>
      </c>
      <c r="AB26" s="1" t="s">
        <v>158</v>
      </c>
      <c r="AC26" s="3">
        <f>'4 Mix Design'!D14</f>
        <v>0</v>
      </c>
      <c r="AD26" s="1">
        <f>'2 Aggregate System'!I13</f>
        <v>0</v>
      </c>
      <c r="AE26" s="5">
        <f>IF(AC26=0,0,AC26/(62.4*AD26))</f>
        <v>0</v>
      </c>
      <c r="AG26" s="766" t="s">
        <v>34</v>
      </c>
      <c r="AH26" s="767" t="e">
        <f>(('2 Aggregate System'!B27*($AE$26/SUM($AE$26:$AE$30)))+('2 Aggregate System'!C27*($AE$27/SUM($AE$26:$AE$30)))+('2 Aggregate System'!D27*($AE$28/SUM($AE$26:$AE$30)))+('2 Aggregate System'!E27*($AE$29/SUM($AE$26:$AE$30)))+('2 Aggregate System'!F27*($AE$30/SUM($AE$26:$AE$30))))/100</f>
        <v>#DIV/0!</v>
      </c>
      <c r="AI26" s="768" t="e">
        <f>AH25-AH26</f>
        <v>#DIV/0!</v>
      </c>
      <c r="AJ26" s="11" t="e">
        <f>AI26*100</f>
        <v>#DIV/0!</v>
      </c>
      <c r="AK26" s="5"/>
      <c r="AL26" s="528" t="s">
        <v>35</v>
      </c>
      <c r="AM26" s="539">
        <f t="shared" si="11"/>
        <v>0</v>
      </c>
      <c r="AN26" s="541">
        <f t="shared" si="12"/>
        <v>0</v>
      </c>
      <c r="AO26" s="541">
        <f t="shared" si="13"/>
        <v>0</v>
      </c>
      <c r="AP26" s="541">
        <f t="shared" ref="AP26:AP36" si="16">AVERAGE(P28:Q28)</f>
        <v>8</v>
      </c>
      <c r="AQ26" s="539">
        <f t="shared" si="14"/>
        <v>8</v>
      </c>
      <c r="AR26" s="539">
        <f t="shared" si="15"/>
        <v>64</v>
      </c>
    </row>
    <row r="27" spans="2:51" x14ac:dyDescent="0.3">
      <c r="B27" s="38" t="s">
        <v>99</v>
      </c>
      <c r="C27" s="39">
        <v>75</v>
      </c>
      <c r="D27" s="25">
        <f t="shared" ref="D27:D40" si="17">+C27^0.45</f>
        <v>6.9787488376816533</v>
      </c>
      <c r="E27" s="40"/>
      <c r="F27" s="38"/>
      <c r="G27" s="39"/>
      <c r="H27" s="38"/>
      <c r="I27" s="39"/>
      <c r="J27" s="38">
        <v>100</v>
      </c>
      <c r="K27" s="39">
        <v>100</v>
      </c>
      <c r="L27" s="38">
        <v>100</v>
      </c>
      <c r="M27" s="39">
        <v>100</v>
      </c>
      <c r="N27" s="38"/>
      <c r="O27" s="39"/>
      <c r="P27" s="44">
        <v>5</v>
      </c>
      <c r="Q27" s="45">
        <v>0</v>
      </c>
      <c r="R27" s="1">
        <v>96</v>
      </c>
      <c r="S27" s="10">
        <v>100</v>
      </c>
      <c r="T27" s="10"/>
      <c r="V27" s="10"/>
      <c r="AB27" s="1" t="s">
        <v>159</v>
      </c>
      <c r="AC27" s="3">
        <f>'4 Mix Design'!D15</f>
        <v>0</v>
      </c>
      <c r="AD27" s="1">
        <f>'2 Aggregate System'!I14</f>
        <v>0</v>
      </c>
      <c r="AE27" s="5">
        <f>IF(AC27=0,0,AC27/(62.4*AD27))</f>
        <v>0</v>
      </c>
      <c r="AG27" s="766" t="s">
        <v>35</v>
      </c>
      <c r="AH27" s="767" t="e">
        <f>(('2 Aggregate System'!B28*($AE$26/SUM($AE$26:$AE$30)))+('2 Aggregate System'!C28*($AE$27/SUM($AE$26:$AE$30)))+('2 Aggregate System'!D28*($AE$28/SUM($AE$26:$AE$30)))+('2 Aggregate System'!E28*($AE$29/SUM($AE$26:$AE$30)))+('2 Aggregate System'!F28*($AE$30/SUM($AE$26:$AE$30))))/100</f>
        <v>#DIV/0!</v>
      </c>
      <c r="AI27" s="768" t="e">
        <f t="shared" ref="AI27:AI37" si="18">AH26-AH27</f>
        <v>#DIV/0!</v>
      </c>
      <c r="AJ27" s="11" t="e">
        <f t="shared" ref="AJ27:AJ37" si="19">AI27*100</f>
        <v>#DIV/0!</v>
      </c>
      <c r="AK27" s="5"/>
      <c r="AL27" s="528" t="s">
        <v>36</v>
      </c>
      <c r="AM27" s="539">
        <f t="shared" si="11"/>
        <v>0</v>
      </c>
      <c r="AN27" s="541">
        <f t="shared" si="12"/>
        <v>0</v>
      </c>
      <c r="AO27" s="541">
        <f t="shared" si="13"/>
        <v>0</v>
      </c>
      <c r="AP27" s="541">
        <f t="shared" si="16"/>
        <v>10</v>
      </c>
      <c r="AQ27" s="539">
        <f t="shared" si="14"/>
        <v>10</v>
      </c>
      <c r="AR27" s="539">
        <f t="shared" si="15"/>
        <v>100</v>
      </c>
    </row>
    <row r="28" spans="2:51" x14ac:dyDescent="0.3">
      <c r="B28" s="38" t="s">
        <v>33</v>
      </c>
      <c r="C28" s="39">
        <v>50</v>
      </c>
      <c r="D28" s="25">
        <f t="shared" si="17"/>
        <v>5.8148230317277987</v>
      </c>
      <c r="E28" s="40">
        <f>+'2 Aggregate System'!L27</f>
        <v>0</v>
      </c>
      <c r="F28" s="38"/>
      <c r="G28" s="39"/>
      <c r="H28" s="41">
        <v>100</v>
      </c>
      <c r="I28" s="42">
        <v>100</v>
      </c>
      <c r="J28" s="38">
        <v>100</v>
      </c>
      <c r="K28" s="39">
        <v>100</v>
      </c>
      <c r="L28" s="38">
        <v>100</v>
      </c>
      <c r="M28" s="39">
        <v>100</v>
      </c>
      <c r="N28" s="38">
        <v>0</v>
      </c>
      <c r="O28" s="43">
        <f>D30</f>
        <v>4.2566996126039234</v>
      </c>
      <c r="P28" s="44">
        <v>16</v>
      </c>
      <c r="Q28" s="45">
        <v>0</v>
      </c>
      <c r="R28" s="1">
        <v>70</v>
      </c>
      <c r="S28" s="10">
        <v>99</v>
      </c>
      <c r="T28" s="10"/>
      <c r="V28" s="10"/>
      <c r="W28" s="10"/>
      <c r="X28" s="10"/>
      <c r="AB28" s="1" t="s">
        <v>176</v>
      </c>
      <c r="AC28" s="3">
        <f>'4 Mix Design'!D16</f>
        <v>0</v>
      </c>
      <c r="AD28" s="1">
        <f>'2 Aggregate System'!I15</f>
        <v>0</v>
      </c>
      <c r="AE28" s="5">
        <f>IF(AC28=0,0,AC28/(62.4*AD28))</f>
        <v>0</v>
      </c>
      <c r="AG28" s="766" t="s">
        <v>36</v>
      </c>
      <c r="AH28" s="767" t="e">
        <f>(('2 Aggregate System'!B29*($AE$26/SUM($AE$26:$AE$30)))+('2 Aggregate System'!C29*($AE$27/SUM($AE$26:$AE$30)))+('2 Aggregate System'!D29*($AE$28/SUM($AE$26:$AE$30)))+('2 Aggregate System'!E29*($AE$29/SUM($AE$26:$AE$30)))+('2 Aggregate System'!F29*($AE$30/SUM($AE$26:$AE$30))))/100</f>
        <v>#DIV/0!</v>
      </c>
      <c r="AI28" s="768" t="e">
        <f t="shared" si="18"/>
        <v>#DIV/0!</v>
      </c>
      <c r="AJ28" s="11" t="e">
        <f t="shared" si="19"/>
        <v>#DIV/0!</v>
      </c>
      <c r="AK28" s="5"/>
      <c r="AL28" s="528" t="s">
        <v>37</v>
      </c>
      <c r="AM28" s="539">
        <f t="shared" si="11"/>
        <v>0</v>
      </c>
      <c r="AN28" s="541">
        <f t="shared" si="12"/>
        <v>0</v>
      </c>
      <c r="AO28" s="541">
        <f t="shared" si="13"/>
        <v>0</v>
      </c>
      <c r="AP28" s="541">
        <f t="shared" si="16"/>
        <v>12</v>
      </c>
      <c r="AQ28" s="539">
        <f t="shared" si="14"/>
        <v>12</v>
      </c>
      <c r="AR28" s="539">
        <f t="shared" si="15"/>
        <v>144</v>
      </c>
    </row>
    <row r="29" spans="2:51" x14ac:dyDescent="0.3">
      <c r="B29" s="38" t="s">
        <v>100</v>
      </c>
      <c r="C29" s="39">
        <v>37.5</v>
      </c>
      <c r="D29" s="25">
        <f t="shared" si="17"/>
        <v>5.1087431744234335</v>
      </c>
      <c r="E29" s="40">
        <f>+'2 Aggregate System'!L28</f>
        <v>0</v>
      </c>
      <c r="F29" s="38"/>
      <c r="G29" s="39"/>
      <c r="H29" s="41">
        <v>100</v>
      </c>
      <c r="I29" s="42">
        <v>100</v>
      </c>
      <c r="J29" s="38">
        <v>80</v>
      </c>
      <c r="K29" s="39">
        <v>88</v>
      </c>
      <c r="L29" s="38">
        <v>88</v>
      </c>
      <c r="M29" s="39">
        <v>98</v>
      </c>
      <c r="N29" s="38"/>
      <c r="O29" s="39"/>
      <c r="P29" s="44">
        <v>20</v>
      </c>
      <c r="Q29" s="45">
        <v>0</v>
      </c>
      <c r="R29" s="1">
        <v>55</v>
      </c>
      <c r="S29" s="10">
        <v>96</v>
      </c>
      <c r="T29" s="10"/>
      <c r="V29" s="10"/>
      <c r="W29" s="10"/>
      <c r="X29" s="10"/>
      <c r="AB29" s="1" t="s">
        <v>177</v>
      </c>
      <c r="AC29" s="3">
        <f>'4 Mix Design'!D17</f>
        <v>0</v>
      </c>
      <c r="AD29" s="1">
        <f>'2 Aggregate System'!I16</f>
        <v>0</v>
      </c>
      <c r="AE29" s="5">
        <f>IF(AC29=0,0,AC29/(62.4*AD29))</f>
        <v>0</v>
      </c>
      <c r="AG29" s="766" t="s">
        <v>37</v>
      </c>
      <c r="AH29" s="767" t="e">
        <f>(('2 Aggregate System'!B30*($AE$26/SUM($AE$26:$AE$30)))+('2 Aggregate System'!C30*($AE$27/SUM($AE$26:$AE$30)))+('2 Aggregate System'!D30*($AE$28/SUM($AE$26:$AE$30)))+('2 Aggregate System'!E30*($AE$29/SUM($AE$26:$AE$30)))+('2 Aggregate System'!F30*($AE$30/SUM($AE$26:$AE$30))))/100</f>
        <v>#DIV/0!</v>
      </c>
      <c r="AI29" s="768" t="e">
        <f t="shared" si="18"/>
        <v>#DIV/0!</v>
      </c>
      <c r="AJ29" s="11" t="e">
        <f t="shared" si="19"/>
        <v>#DIV/0!</v>
      </c>
      <c r="AK29" s="5"/>
      <c r="AL29" s="528" t="s">
        <v>38</v>
      </c>
      <c r="AM29" s="539">
        <f t="shared" si="11"/>
        <v>0</v>
      </c>
      <c r="AN29" s="541">
        <f t="shared" si="12"/>
        <v>0</v>
      </c>
      <c r="AO29" s="541">
        <f t="shared" si="13"/>
        <v>0</v>
      </c>
      <c r="AP29" s="541">
        <f t="shared" si="16"/>
        <v>12</v>
      </c>
      <c r="AQ29" s="539">
        <f t="shared" si="14"/>
        <v>12</v>
      </c>
      <c r="AR29" s="539">
        <f t="shared" si="15"/>
        <v>144</v>
      </c>
    </row>
    <row r="30" spans="2:51" x14ac:dyDescent="0.3">
      <c r="B30" s="38" t="s">
        <v>35</v>
      </c>
      <c r="C30" s="39">
        <v>25</v>
      </c>
      <c r="D30" s="25">
        <f t="shared" si="17"/>
        <v>4.2566996126039234</v>
      </c>
      <c r="E30" s="40">
        <f>+'2 Aggregate System'!L29</f>
        <v>0</v>
      </c>
      <c r="F30" s="38"/>
      <c r="G30" s="39">
        <v>0</v>
      </c>
      <c r="H30" s="41">
        <v>100</v>
      </c>
      <c r="I30" s="42">
        <v>100</v>
      </c>
      <c r="J30" s="38">
        <v>63</v>
      </c>
      <c r="K30" s="39">
        <v>75</v>
      </c>
      <c r="L30" s="38">
        <v>66</v>
      </c>
      <c r="M30" s="39">
        <v>86</v>
      </c>
      <c r="N30" s="38">
        <v>0</v>
      </c>
      <c r="O30" s="43">
        <f>D32</f>
        <v>3.116086507375345</v>
      </c>
      <c r="P30" s="44">
        <v>20</v>
      </c>
      <c r="Q30" s="45">
        <v>4</v>
      </c>
      <c r="R30" s="1">
        <v>48</v>
      </c>
      <c r="S30" s="10">
        <v>86</v>
      </c>
      <c r="T30" s="10"/>
      <c r="V30" s="10"/>
      <c r="W30" s="10"/>
      <c r="X30" s="10"/>
      <c r="AB30" s="1" t="s">
        <v>178</v>
      </c>
      <c r="AC30" s="3">
        <f>'4 Mix Design'!D18</f>
        <v>0</v>
      </c>
      <c r="AD30" s="1">
        <f>'2 Aggregate System'!I17</f>
        <v>0</v>
      </c>
      <c r="AE30" s="5">
        <f>IF(AC30=0,0,AC30/(62.4*AD30))</f>
        <v>0</v>
      </c>
      <c r="AG30" s="766" t="s">
        <v>38</v>
      </c>
      <c r="AH30" s="767" t="e">
        <f>(('2 Aggregate System'!B31*($AE$26/SUM($AE$26:$AE$30)))+('2 Aggregate System'!C31*($AE$27/SUM($AE$26:$AE$30)))+('2 Aggregate System'!D31*($AE$28/SUM($AE$26:$AE$30)))+('2 Aggregate System'!E31*($AE$29/SUM($AE$26:$AE$30)))+('2 Aggregate System'!F31*($AE$30/SUM($AE$26:$AE$30))))/100</f>
        <v>#DIV/0!</v>
      </c>
      <c r="AI30" s="768" t="e">
        <f t="shared" si="18"/>
        <v>#DIV/0!</v>
      </c>
      <c r="AJ30" s="11" t="e">
        <f t="shared" si="19"/>
        <v>#DIV/0!</v>
      </c>
      <c r="AK30" s="5"/>
      <c r="AL30" s="528" t="s">
        <v>39</v>
      </c>
      <c r="AM30" s="539">
        <f t="shared" si="11"/>
        <v>0</v>
      </c>
      <c r="AN30" s="541">
        <f t="shared" si="12"/>
        <v>0</v>
      </c>
      <c r="AO30" s="541">
        <f t="shared" si="13"/>
        <v>0</v>
      </c>
      <c r="AP30" s="541">
        <f t="shared" si="16"/>
        <v>12</v>
      </c>
      <c r="AQ30" s="539">
        <f t="shared" si="14"/>
        <v>12</v>
      </c>
      <c r="AR30" s="539">
        <f t="shared" si="15"/>
        <v>144</v>
      </c>
    </row>
    <row r="31" spans="2:51" x14ac:dyDescent="0.3">
      <c r="B31" s="38" t="s">
        <v>36</v>
      </c>
      <c r="C31" s="39">
        <v>19.5</v>
      </c>
      <c r="D31" s="25">
        <f t="shared" si="17"/>
        <v>3.8064100829378442</v>
      </c>
      <c r="E31" s="40">
        <f>+'2 Aggregate System'!L30</f>
        <v>0</v>
      </c>
      <c r="F31" s="38">
        <v>0</v>
      </c>
      <c r="G31" s="39">
        <v>18</v>
      </c>
      <c r="H31" s="41">
        <v>100</v>
      </c>
      <c r="I31" s="42">
        <v>100</v>
      </c>
      <c r="J31" s="38">
        <v>55</v>
      </c>
      <c r="K31" s="39">
        <v>70</v>
      </c>
      <c r="L31" s="38">
        <v>50</v>
      </c>
      <c r="M31" s="39">
        <v>75</v>
      </c>
      <c r="N31" s="38"/>
      <c r="O31" s="39"/>
      <c r="P31" s="44">
        <v>20</v>
      </c>
      <c r="Q31" s="45">
        <v>4</v>
      </c>
      <c r="R31" s="1">
        <v>38</v>
      </c>
      <c r="S31" s="10">
        <v>77</v>
      </c>
      <c r="T31" s="10"/>
      <c r="V31" s="10"/>
      <c r="W31" s="10"/>
      <c r="X31" s="10"/>
      <c r="AB31" s="1" t="s">
        <v>80</v>
      </c>
      <c r="AC31" s="3">
        <f>SUM(AC26:AC30)</f>
        <v>0</v>
      </c>
      <c r="AD31" s="1" t="s">
        <v>80</v>
      </c>
      <c r="AE31" s="10">
        <f>SUM(AE26:AE30)</f>
        <v>0</v>
      </c>
      <c r="AF31" s="10"/>
      <c r="AG31" s="766" t="s">
        <v>39</v>
      </c>
      <c r="AH31" s="767" t="e">
        <f>(('2 Aggregate System'!B32*($AE$26/SUM($AE$26:$AE$30)))+('2 Aggregate System'!C32*($AE$27/SUM($AE$26:$AE$30)))+('2 Aggregate System'!D32*($AE$28/SUM($AE$26:$AE$30)))+('2 Aggregate System'!E32*($AE$29/SUM($AE$26:$AE$30)))+('2 Aggregate System'!F32*($AE$30/SUM($AE$26:$AE$30))))/100</f>
        <v>#DIV/0!</v>
      </c>
      <c r="AI31" s="768" t="e">
        <f t="shared" si="18"/>
        <v>#DIV/0!</v>
      </c>
      <c r="AJ31" s="11" t="e">
        <f t="shared" si="19"/>
        <v>#DIV/0!</v>
      </c>
      <c r="AK31" s="5"/>
      <c r="AL31" s="528" t="s">
        <v>40</v>
      </c>
      <c r="AM31" s="539">
        <f t="shared" si="11"/>
        <v>0</v>
      </c>
      <c r="AN31" s="541">
        <f t="shared" si="12"/>
        <v>0</v>
      </c>
      <c r="AO31" s="541">
        <f t="shared" si="13"/>
        <v>0</v>
      </c>
      <c r="AP31" s="541">
        <f t="shared" si="16"/>
        <v>6</v>
      </c>
      <c r="AQ31" s="539">
        <f t="shared" si="14"/>
        <v>6</v>
      </c>
      <c r="AR31" s="539">
        <f t="shared" si="15"/>
        <v>36</v>
      </c>
    </row>
    <row r="32" spans="2:51" x14ac:dyDescent="0.3">
      <c r="B32" s="38" t="s">
        <v>37</v>
      </c>
      <c r="C32" s="39">
        <v>12.5</v>
      </c>
      <c r="D32" s="25">
        <f t="shared" si="17"/>
        <v>3.116086507375345</v>
      </c>
      <c r="E32" s="40">
        <f>+'2 Aggregate System'!L31</f>
        <v>0</v>
      </c>
      <c r="F32" s="38">
        <v>8</v>
      </c>
      <c r="G32" s="39">
        <v>18</v>
      </c>
      <c r="H32" s="41">
        <v>100</v>
      </c>
      <c r="I32" s="42">
        <v>100</v>
      </c>
      <c r="J32" s="38">
        <v>40</v>
      </c>
      <c r="K32" s="39">
        <v>59</v>
      </c>
      <c r="L32" s="38">
        <v>40</v>
      </c>
      <c r="M32" s="39">
        <v>52</v>
      </c>
      <c r="N32" s="38">
        <v>0</v>
      </c>
      <c r="O32" s="43">
        <f>D34</f>
        <v>2.0161002539629291</v>
      </c>
      <c r="P32" s="44">
        <v>20</v>
      </c>
      <c r="Q32" s="45">
        <v>4</v>
      </c>
      <c r="R32" s="1">
        <v>30</v>
      </c>
      <c r="S32" s="10">
        <v>60</v>
      </c>
      <c r="T32" s="10"/>
      <c r="V32" s="10"/>
      <c r="W32" s="10"/>
      <c r="X32" s="10"/>
      <c r="AA32" s="1362" t="s">
        <v>391</v>
      </c>
      <c r="AB32" s="1362"/>
      <c r="AC32" s="1362"/>
      <c r="AD32" s="1362"/>
      <c r="AE32" s="1362"/>
      <c r="AG32" s="766" t="s">
        <v>40</v>
      </c>
      <c r="AH32" s="767" t="e">
        <f>(('2 Aggregate System'!B33*($AE$26/SUM($AE$26:$AE$30)))+('2 Aggregate System'!C33*($AE$27/SUM($AE$26:$AE$30)))+('2 Aggregate System'!D33*($AE$28/SUM($AE$26:$AE$30)))+('2 Aggregate System'!E33*($AE$29/SUM($AE$26:$AE$30)))+('2 Aggregate System'!F33*($AE$30/SUM($AE$26:$AE$30))))/100</f>
        <v>#DIV/0!</v>
      </c>
      <c r="AI32" s="768" t="e">
        <f t="shared" si="18"/>
        <v>#DIV/0!</v>
      </c>
      <c r="AJ32" s="11" t="e">
        <f t="shared" si="19"/>
        <v>#DIV/0!</v>
      </c>
      <c r="AK32" s="5"/>
      <c r="AL32" s="528" t="s">
        <v>41</v>
      </c>
      <c r="AM32" s="539">
        <f t="shared" si="11"/>
        <v>0</v>
      </c>
      <c r="AN32" s="541">
        <f t="shared" si="12"/>
        <v>0</v>
      </c>
      <c r="AO32" s="541">
        <f t="shared" si="13"/>
        <v>0</v>
      </c>
      <c r="AP32" s="541">
        <f t="shared" si="16"/>
        <v>6</v>
      </c>
      <c r="AQ32" s="539">
        <f t="shared" si="14"/>
        <v>6</v>
      </c>
      <c r="AR32" s="539">
        <f t="shared" si="15"/>
        <v>36</v>
      </c>
    </row>
    <row r="33" spans="2:44" x14ac:dyDescent="0.3">
      <c r="B33" s="38" t="s">
        <v>38</v>
      </c>
      <c r="C33" s="39">
        <v>9.5</v>
      </c>
      <c r="D33" s="25">
        <f t="shared" si="17"/>
        <v>2.754074108566122</v>
      </c>
      <c r="E33" s="40">
        <f>+'2 Aggregate System'!L32</f>
        <v>0</v>
      </c>
      <c r="F33" s="38">
        <v>8</v>
      </c>
      <c r="G33" s="39">
        <v>18</v>
      </c>
      <c r="H33" s="41">
        <v>100</v>
      </c>
      <c r="I33" s="42">
        <v>100</v>
      </c>
      <c r="J33" s="38">
        <v>28</v>
      </c>
      <c r="K33" s="39">
        <v>48</v>
      </c>
      <c r="L33" s="38">
        <v>33</v>
      </c>
      <c r="M33" s="39">
        <v>43</v>
      </c>
      <c r="N33" s="38"/>
      <c r="O33" s="43"/>
      <c r="P33" s="44">
        <v>12</v>
      </c>
      <c r="Q33" s="45">
        <v>0</v>
      </c>
      <c r="R33" s="1">
        <v>25</v>
      </c>
      <c r="S33" s="10">
        <v>53</v>
      </c>
      <c r="T33" s="10"/>
      <c r="V33" s="10"/>
      <c r="W33" s="10"/>
      <c r="X33" s="10"/>
      <c r="AA33" s="1362" t="s">
        <v>195</v>
      </c>
      <c r="AB33" s="1362"/>
      <c r="AD33" s="1362" t="s">
        <v>196</v>
      </c>
      <c r="AE33" s="1362"/>
      <c r="AG33" s="766" t="s">
        <v>41</v>
      </c>
      <c r="AH33" s="767" t="e">
        <f>(('2 Aggregate System'!B34*($AE$26/SUM($AE$26:$AE$30)))+('2 Aggregate System'!C34*($AE$27/SUM($AE$26:$AE$30)))+('2 Aggregate System'!D34*($AE$28/SUM($AE$26:$AE$30)))+('2 Aggregate System'!E34*($AE$29/SUM($AE$26:$AE$30)))+('2 Aggregate System'!F34*($AE$30/SUM($AE$26:$AE$30))))/100</f>
        <v>#DIV/0!</v>
      </c>
      <c r="AI33" s="768" t="e">
        <f t="shared" si="18"/>
        <v>#DIV/0!</v>
      </c>
      <c r="AJ33" s="11" t="e">
        <f t="shared" si="19"/>
        <v>#DIV/0!</v>
      </c>
      <c r="AK33" s="5"/>
      <c r="AL33" s="528" t="s">
        <v>42</v>
      </c>
      <c r="AM33" s="539">
        <f t="shared" si="11"/>
        <v>0</v>
      </c>
      <c r="AN33" s="541">
        <f t="shared" si="12"/>
        <v>0</v>
      </c>
      <c r="AO33" s="541">
        <f t="shared" si="13"/>
        <v>0</v>
      </c>
      <c r="AP33" s="541">
        <f t="shared" si="16"/>
        <v>12</v>
      </c>
      <c r="AQ33" s="539">
        <f t="shared" si="14"/>
        <v>12</v>
      </c>
      <c r="AR33" s="539">
        <f t="shared" si="15"/>
        <v>144</v>
      </c>
    </row>
    <row r="34" spans="2:44" x14ac:dyDescent="0.3">
      <c r="B34" s="38" t="s">
        <v>39</v>
      </c>
      <c r="C34" s="39">
        <v>4.75</v>
      </c>
      <c r="D34" s="25">
        <f t="shared" si="17"/>
        <v>2.0161002539629291</v>
      </c>
      <c r="E34" s="40">
        <f>+'2 Aggregate System'!L33</f>
        <v>0</v>
      </c>
      <c r="F34" s="38">
        <v>8</v>
      </c>
      <c r="G34" s="39">
        <v>18</v>
      </c>
      <c r="H34" s="44">
        <v>95</v>
      </c>
      <c r="I34" s="45">
        <v>100</v>
      </c>
      <c r="J34" s="38">
        <v>18</v>
      </c>
      <c r="K34" s="39">
        <v>35</v>
      </c>
      <c r="L34" s="38">
        <v>25</v>
      </c>
      <c r="M34" s="39">
        <v>35</v>
      </c>
      <c r="N34" s="38">
        <v>0</v>
      </c>
      <c r="O34" s="43">
        <f>D36</f>
        <v>1.0773254099250416</v>
      </c>
      <c r="P34" s="44">
        <v>12</v>
      </c>
      <c r="Q34" s="45">
        <v>0</v>
      </c>
      <c r="R34" s="1">
        <v>20</v>
      </c>
      <c r="S34" s="10">
        <v>44</v>
      </c>
      <c r="T34" s="10"/>
      <c r="V34" s="10"/>
      <c r="W34" s="10"/>
      <c r="X34" s="10"/>
      <c r="AA34" s="46" t="s">
        <v>188</v>
      </c>
      <c r="AB34" s="1" t="e">
        <f>(AE26/$AE$31)*100</f>
        <v>#DIV/0!</v>
      </c>
      <c r="AD34" s="46" t="s">
        <v>188</v>
      </c>
      <c r="AE34" s="1" t="e">
        <f>(AC26/$AC$31)*100</f>
        <v>#DIV/0!</v>
      </c>
      <c r="AG34" s="766" t="s">
        <v>42</v>
      </c>
      <c r="AH34" s="767" t="e">
        <f>(('2 Aggregate System'!B35*($AE$26/SUM($AE$26:$AE$30)))+('2 Aggregate System'!C35*($AE$27/SUM($AE$26:$AE$30)))+('2 Aggregate System'!D35*($AE$28/SUM($AE$26:$AE$30)))+('2 Aggregate System'!E35*($AE$29/SUM($AE$26:$AE$30)))+('2 Aggregate System'!F35*($AE$30/SUM($AE$26:$AE$30))))/100</f>
        <v>#DIV/0!</v>
      </c>
      <c r="AI34" s="768" t="e">
        <f t="shared" si="18"/>
        <v>#DIV/0!</v>
      </c>
      <c r="AJ34" s="11" t="e">
        <f t="shared" si="19"/>
        <v>#DIV/0!</v>
      </c>
      <c r="AK34" s="5"/>
      <c r="AL34" s="528" t="s">
        <v>43</v>
      </c>
      <c r="AM34" s="539">
        <f t="shared" si="11"/>
        <v>0</v>
      </c>
      <c r="AN34" s="541">
        <f t="shared" si="12"/>
        <v>0</v>
      </c>
      <c r="AO34" s="541">
        <f t="shared" si="13"/>
        <v>0</v>
      </c>
      <c r="AP34" s="541">
        <f t="shared" si="16"/>
        <v>12</v>
      </c>
      <c r="AQ34" s="539">
        <f t="shared" si="14"/>
        <v>12</v>
      </c>
      <c r="AR34" s="539">
        <f t="shared" si="15"/>
        <v>144</v>
      </c>
    </row>
    <row r="35" spans="2:44" x14ac:dyDescent="0.3">
      <c r="B35" s="38" t="s">
        <v>40</v>
      </c>
      <c r="C35" s="39">
        <v>2.36</v>
      </c>
      <c r="D35" s="25">
        <f t="shared" si="17"/>
        <v>1.4716698795820382</v>
      </c>
      <c r="E35" s="40">
        <f>+'2 Aggregate System'!L34</f>
        <v>0</v>
      </c>
      <c r="F35" s="38">
        <v>8</v>
      </c>
      <c r="G35" s="39">
        <v>18</v>
      </c>
      <c r="H35" s="44">
        <v>80</v>
      </c>
      <c r="I35" s="45">
        <v>100</v>
      </c>
      <c r="J35" s="38">
        <v>12</v>
      </c>
      <c r="K35" s="39">
        <v>25</v>
      </c>
      <c r="L35" s="38">
        <v>15</v>
      </c>
      <c r="M35" s="39">
        <v>25</v>
      </c>
      <c r="N35" s="38"/>
      <c r="O35" s="43"/>
      <c r="P35" s="44">
        <v>20</v>
      </c>
      <c r="Q35" s="45">
        <v>4</v>
      </c>
      <c r="R35" s="1">
        <v>10</v>
      </c>
      <c r="S35" s="10">
        <v>32</v>
      </c>
      <c r="T35" s="10"/>
      <c r="V35" s="10"/>
      <c r="W35" s="10"/>
      <c r="X35" s="10"/>
      <c r="AA35" s="46" t="s">
        <v>189</v>
      </c>
      <c r="AB35" s="1" t="e">
        <f>(AE27/$AE$31)*100</f>
        <v>#DIV/0!</v>
      </c>
      <c r="AD35" s="46" t="s">
        <v>189</v>
      </c>
      <c r="AE35" s="1" t="e">
        <f>(AC27/$AC$31)*100</f>
        <v>#DIV/0!</v>
      </c>
      <c r="AG35" s="766" t="s">
        <v>43</v>
      </c>
      <c r="AH35" s="767" t="e">
        <f>(('2 Aggregate System'!B36*($AE$26/SUM($AE$26:$AE$30)))+('2 Aggregate System'!C36*($AE$27/SUM($AE$26:$AE$30)))+('2 Aggregate System'!D36*($AE$28/SUM($AE$26:$AE$30)))+('2 Aggregate System'!E36*($AE$29/SUM($AE$26:$AE$30)))+('2 Aggregate System'!F36*($AE$30/SUM($AE$26:$AE$30))))/100</f>
        <v>#DIV/0!</v>
      </c>
      <c r="AI35" s="768" t="e">
        <f t="shared" si="18"/>
        <v>#DIV/0!</v>
      </c>
      <c r="AJ35" s="11" t="e">
        <f t="shared" si="19"/>
        <v>#DIV/0!</v>
      </c>
      <c r="AK35" s="5"/>
      <c r="AL35" s="528" t="s">
        <v>44</v>
      </c>
      <c r="AM35" s="539">
        <f t="shared" si="11"/>
        <v>0</v>
      </c>
      <c r="AN35" s="541">
        <f t="shared" si="12"/>
        <v>0</v>
      </c>
      <c r="AO35" s="541">
        <f t="shared" si="13"/>
        <v>0</v>
      </c>
      <c r="AP35" s="541">
        <f t="shared" si="16"/>
        <v>5</v>
      </c>
      <c r="AQ35" s="539">
        <f t="shared" si="14"/>
        <v>5</v>
      </c>
      <c r="AR35" s="539">
        <f t="shared" si="15"/>
        <v>25</v>
      </c>
    </row>
    <row r="36" spans="2:44" ht="16.2" thickBot="1" x14ac:dyDescent="0.35">
      <c r="B36" s="38" t="s">
        <v>41</v>
      </c>
      <c r="C36" s="39">
        <v>1.18</v>
      </c>
      <c r="D36" s="25">
        <f t="shared" si="17"/>
        <v>1.0773254099250416</v>
      </c>
      <c r="E36" s="40">
        <f>+'2 Aggregate System'!L35</f>
        <v>0</v>
      </c>
      <c r="F36" s="38">
        <v>8</v>
      </c>
      <c r="G36" s="39">
        <v>18</v>
      </c>
      <c r="H36" s="44">
        <v>50</v>
      </c>
      <c r="I36" s="45">
        <v>85</v>
      </c>
      <c r="J36" s="38">
        <v>7</v>
      </c>
      <c r="K36" s="39">
        <v>15</v>
      </c>
      <c r="L36" s="38">
        <v>5</v>
      </c>
      <c r="M36" s="39">
        <v>15</v>
      </c>
      <c r="N36" s="38">
        <v>0</v>
      </c>
      <c r="O36" s="43">
        <f>D38</f>
        <v>0.58170736792793831</v>
      </c>
      <c r="P36" s="44">
        <v>20</v>
      </c>
      <c r="Q36" s="45">
        <v>4</v>
      </c>
      <c r="R36" s="1">
        <v>2</v>
      </c>
      <c r="S36" s="10">
        <v>14</v>
      </c>
      <c r="T36" s="10"/>
      <c r="V36" s="10"/>
      <c r="W36" s="10"/>
      <c r="X36" s="10"/>
      <c r="AA36" s="46" t="s">
        <v>190</v>
      </c>
      <c r="AB36" s="1" t="e">
        <f>(AE28/$AE$31)*100</f>
        <v>#DIV/0!</v>
      </c>
      <c r="AD36" s="46" t="s">
        <v>190</v>
      </c>
      <c r="AE36" s="1" t="e">
        <f>(AC28/$AC$31)*100</f>
        <v>#DIV/0!</v>
      </c>
      <c r="AG36" s="766" t="s">
        <v>44</v>
      </c>
      <c r="AH36" s="767" t="e">
        <f>(('2 Aggregate System'!B37*($AE$26/SUM($AE$26:$AE$30)))+('2 Aggregate System'!C37*($AE$27/SUM($AE$26:$AE$30)))+('2 Aggregate System'!D37*($AE$28/SUM($AE$26:$AE$30)))+('2 Aggregate System'!E37*($AE$29/SUM($AE$26:$AE$30)))+('2 Aggregate System'!F37*($AE$30/SUM($AE$26:$AE$30))))/100</f>
        <v>#DIV/0!</v>
      </c>
      <c r="AI36" s="768" t="e">
        <f t="shared" si="18"/>
        <v>#DIV/0!</v>
      </c>
      <c r="AJ36" s="11" t="e">
        <f t="shared" si="19"/>
        <v>#DIV/0!</v>
      </c>
      <c r="AK36" s="5"/>
      <c r="AL36" s="529" t="s">
        <v>45</v>
      </c>
      <c r="AM36" s="540">
        <f t="shared" si="11"/>
        <v>0</v>
      </c>
      <c r="AN36" s="542">
        <f t="shared" si="12"/>
        <v>0</v>
      </c>
      <c r="AO36" s="542">
        <f t="shared" si="13"/>
        <v>0</v>
      </c>
      <c r="AP36" s="542">
        <f t="shared" si="16"/>
        <v>2.5</v>
      </c>
      <c r="AQ36" s="540">
        <f t="shared" si="14"/>
        <v>2.5</v>
      </c>
      <c r="AR36" s="540">
        <f t="shared" si="15"/>
        <v>6.25</v>
      </c>
    </row>
    <row r="37" spans="2:44" x14ac:dyDescent="0.3">
      <c r="B37" s="38" t="s">
        <v>42</v>
      </c>
      <c r="C37" s="39">
        <v>0.6</v>
      </c>
      <c r="D37" s="25">
        <f t="shared" si="17"/>
        <v>0.79463568224020453</v>
      </c>
      <c r="E37" s="40">
        <f>+'2 Aggregate System'!L36</f>
        <v>0</v>
      </c>
      <c r="F37" s="38">
        <v>8</v>
      </c>
      <c r="G37" s="39">
        <v>18</v>
      </c>
      <c r="H37" s="44">
        <v>25</v>
      </c>
      <c r="I37" s="45">
        <v>60</v>
      </c>
      <c r="J37" s="38">
        <v>3</v>
      </c>
      <c r="K37" s="39">
        <v>8</v>
      </c>
      <c r="L37" s="38">
        <v>1</v>
      </c>
      <c r="M37" s="39">
        <v>8</v>
      </c>
      <c r="N37" s="38"/>
      <c r="O37" s="43"/>
      <c r="P37" s="44">
        <v>10</v>
      </c>
      <c r="Q37" s="45">
        <v>0</v>
      </c>
      <c r="R37" s="1">
        <v>0</v>
      </c>
      <c r="S37" s="10">
        <v>6</v>
      </c>
      <c r="T37" s="10"/>
      <c r="V37" s="10"/>
      <c r="W37" s="10"/>
      <c r="X37" s="10"/>
      <c r="AA37" s="46" t="s">
        <v>191</v>
      </c>
      <c r="AB37" s="1" t="e">
        <f>(AE29/$AE$31)*100</f>
        <v>#DIV/0!</v>
      </c>
      <c r="AD37" s="46" t="s">
        <v>191</v>
      </c>
      <c r="AE37" s="1" t="e">
        <f>(AC29/$AC$31)*100</f>
        <v>#DIV/0!</v>
      </c>
      <c r="AG37" s="766" t="s">
        <v>45</v>
      </c>
      <c r="AH37" s="767" t="e">
        <f>(('2 Aggregate System'!B38*($AE$26/SUM($AE$26:$AE$30)))+('2 Aggregate System'!C38*($AE$27/SUM($AE$26:$AE$30)))+('2 Aggregate System'!D38*($AE$28/SUM($AE$26:$AE$30)))+('2 Aggregate System'!E38*($AE$29/SUM($AE$26:$AE$30)))+('2 Aggregate System'!F38*($AE$30/SUM($AE$26:$AE$30))))/100</f>
        <v>#DIV/0!</v>
      </c>
      <c r="AI37" s="768" t="e">
        <f t="shared" si="18"/>
        <v>#DIV/0!</v>
      </c>
      <c r="AJ37" s="11" t="e">
        <f t="shared" si="19"/>
        <v>#DIV/0!</v>
      </c>
      <c r="AK37" s="5"/>
      <c r="AL37" s="10"/>
      <c r="AM37" s="551" t="s">
        <v>392</v>
      </c>
      <c r="AN37" s="552">
        <f>SUM(AN24:AN36)+SUM(AO24:AO36)</f>
        <v>200</v>
      </c>
      <c r="AO37" s="535"/>
      <c r="AP37" s="1376" t="s">
        <v>386</v>
      </c>
      <c r="AQ37" s="1376"/>
      <c r="AR37" s="538">
        <f>SUM(AR24:AR36)</f>
        <v>10993.5</v>
      </c>
    </row>
    <row r="38" spans="2:44" x14ac:dyDescent="0.3">
      <c r="B38" s="38" t="s">
        <v>43</v>
      </c>
      <c r="C38" s="39">
        <v>0.3</v>
      </c>
      <c r="D38" s="25">
        <f t="shared" si="17"/>
        <v>0.58170736792793831</v>
      </c>
      <c r="E38" s="40">
        <f>+'2 Aggregate System'!L37</f>
        <v>0</v>
      </c>
      <c r="F38" s="38">
        <v>0</v>
      </c>
      <c r="G38" s="39">
        <v>18</v>
      </c>
      <c r="H38" s="44">
        <v>10</v>
      </c>
      <c r="I38" s="45">
        <v>30</v>
      </c>
      <c r="J38" s="47">
        <v>0</v>
      </c>
      <c r="K38" s="48">
        <v>0</v>
      </c>
      <c r="L38" s="47">
        <v>1</v>
      </c>
      <c r="M38" s="48">
        <v>6</v>
      </c>
      <c r="N38" s="47">
        <v>0</v>
      </c>
      <c r="O38" s="50">
        <f>D40</f>
        <v>0.31172925995349998</v>
      </c>
      <c r="P38" s="51">
        <v>5</v>
      </c>
      <c r="Q38" s="52">
        <v>0</v>
      </c>
      <c r="R38" s="1">
        <v>0</v>
      </c>
      <c r="S38" s="10">
        <v>2.2999999999999998</v>
      </c>
      <c r="T38" s="10"/>
      <c r="V38" s="10"/>
      <c r="W38" s="10"/>
      <c r="X38" s="10"/>
      <c r="AA38" s="46" t="s">
        <v>192</v>
      </c>
      <c r="AB38" s="1" t="e">
        <f>(AE30/$AE$31)*100</f>
        <v>#DIV/0!</v>
      </c>
      <c r="AD38" s="46" t="s">
        <v>192</v>
      </c>
      <c r="AE38" s="1" t="e">
        <f>(AC30/$AC$31)*100</f>
        <v>#DIV/0!</v>
      </c>
      <c r="AK38" s="5"/>
      <c r="AL38" s="10"/>
      <c r="AM38" s="536"/>
      <c r="AN38" s="537"/>
      <c r="AO38" s="535"/>
      <c r="AP38" s="535"/>
      <c r="AQ38" s="535"/>
      <c r="AR38" s="535"/>
    </row>
    <row r="39" spans="2:44" x14ac:dyDescent="0.3">
      <c r="B39" s="38" t="s">
        <v>44</v>
      </c>
      <c r="C39" s="39">
        <v>0.15</v>
      </c>
      <c r="D39" s="25">
        <f t="shared" si="17"/>
        <v>0.42583471830473674</v>
      </c>
      <c r="E39" s="40">
        <f>+'2 Aggregate System'!L38</f>
        <v>0</v>
      </c>
      <c r="F39" s="38"/>
      <c r="G39" s="39">
        <v>0</v>
      </c>
      <c r="H39" s="44">
        <v>2</v>
      </c>
      <c r="I39" s="45">
        <v>10</v>
      </c>
      <c r="R39" s="74">
        <f>R26/100</f>
        <v>1</v>
      </c>
      <c r="S39" s="74">
        <f>S26/100</f>
        <v>1</v>
      </c>
      <c r="T39" s="10"/>
      <c r="U39" s="10"/>
      <c r="W39" s="10"/>
      <c r="X39" s="10"/>
      <c r="AA39" s="53" t="s">
        <v>193</v>
      </c>
      <c r="AB39" s="10" t="e">
        <f>SUM(AB34:AB36)</f>
        <v>#DIV/0!</v>
      </c>
      <c r="AD39" s="53" t="s">
        <v>197</v>
      </c>
      <c r="AE39" s="10" t="e">
        <f>SUM(AE34:AE36)</f>
        <v>#DIV/0!</v>
      </c>
      <c r="AM39" s="1362" t="s">
        <v>217</v>
      </c>
      <c r="AN39" s="1362"/>
      <c r="AO39" s="1362"/>
      <c r="AP39" s="535"/>
      <c r="AQ39" s="535"/>
      <c r="AR39" s="535"/>
    </row>
    <row r="40" spans="2:44" x14ac:dyDescent="0.3">
      <c r="B40" s="47" t="s">
        <v>45</v>
      </c>
      <c r="C40" s="48">
        <v>7.4999999999999997E-2</v>
      </c>
      <c r="D40" s="31">
        <f t="shared" si="17"/>
        <v>0.31172925995349998</v>
      </c>
      <c r="E40" s="49">
        <f>+'2 Aggregate System'!L40</f>
        <v>0</v>
      </c>
      <c r="F40" s="47"/>
      <c r="G40" s="48"/>
      <c r="H40" s="47">
        <v>0</v>
      </c>
      <c r="I40" s="48">
        <v>0</v>
      </c>
      <c r="R40" s="74">
        <f t="shared" ref="R40:S51" si="20">R27/100</f>
        <v>0.96</v>
      </c>
      <c r="S40" s="74">
        <f t="shared" si="20"/>
        <v>1</v>
      </c>
      <c r="AA40" s="53" t="s">
        <v>194</v>
      </c>
      <c r="AB40" s="10" t="e">
        <f>SUM(AB37:AB38)</f>
        <v>#DIV/0!</v>
      </c>
      <c r="AD40" s="53" t="s">
        <v>198</v>
      </c>
      <c r="AE40" s="10" t="e">
        <f>SUM(AE37:AE38)</f>
        <v>#DIV/0!</v>
      </c>
      <c r="AG40" s="1362" t="s">
        <v>218</v>
      </c>
      <c r="AH40" s="1362"/>
      <c r="AM40" s="1" t="s">
        <v>181</v>
      </c>
      <c r="AN40" s="1" t="s">
        <v>182</v>
      </c>
      <c r="AO40" s="1" t="s">
        <v>183</v>
      </c>
      <c r="AP40" s="1" t="s">
        <v>393</v>
      </c>
    </row>
    <row r="41" spans="2:44" x14ac:dyDescent="0.3">
      <c r="R41" s="74">
        <f t="shared" si="20"/>
        <v>0.7</v>
      </c>
      <c r="S41" s="74">
        <f t="shared" si="20"/>
        <v>0.99</v>
      </c>
      <c r="AG41" s="1" t="s">
        <v>201</v>
      </c>
      <c r="AL41" s="1" t="s">
        <v>158</v>
      </c>
      <c r="AM41" s="3">
        <f>IF('Optimize Tool'!E7="-",0,'Optimize Tool'!E7)</f>
        <v>0</v>
      </c>
      <c r="AN41" s="1" t="str">
        <f>'Optimize Tool'!F7</f>
        <v>-</v>
      </c>
      <c r="AO41" s="5">
        <f>IF(AM41=0,0,AM41/(62.4*AN41))</f>
        <v>0</v>
      </c>
      <c r="AP41" s="1" t="e">
        <f>IF(AM41="","",(AO41/$AO$46)*100)</f>
        <v>#DIV/0!</v>
      </c>
    </row>
    <row r="42" spans="2:44" x14ac:dyDescent="0.3">
      <c r="R42" s="74">
        <f t="shared" si="20"/>
        <v>0.55000000000000004</v>
      </c>
      <c r="S42" s="74">
        <f t="shared" si="20"/>
        <v>0.96</v>
      </c>
      <c r="AL42" s="1" t="s">
        <v>159</v>
      </c>
      <c r="AM42" s="3">
        <f>IF('Optimize Tool'!E8="-",0,'Optimize Tool'!E8)</f>
        <v>0</v>
      </c>
      <c r="AN42" s="1" t="str">
        <f>'Optimize Tool'!F8</f>
        <v>-</v>
      </c>
      <c r="AO42" s="5">
        <f t="shared" ref="AO42:AO45" si="21">IF(AM42=0,0,AM42/(62.4*AN42))</f>
        <v>0</v>
      </c>
      <c r="AP42" s="1" t="e">
        <f t="shared" ref="AP42:AP45" si="22">(AO42/$AO$46)*100</f>
        <v>#DIV/0!</v>
      </c>
    </row>
    <row r="43" spans="2:44" x14ac:dyDescent="0.3">
      <c r="R43" s="74">
        <f t="shared" si="20"/>
        <v>0.48</v>
      </c>
      <c r="S43" s="74">
        <f t="shared" si="20"/>
        <v>0.86</v>
      </c>
      <c r="AA43" s="1" t="s">
        <v>256</v>
      </c>
      <c r="AD43" s="1" t="s">
        <v>410</v>
      </c>
      <c r="AE43" s="1" t="s">
        <v>266</v>
      </c>
      <c r="AF43" s="1" t="s">
        <v>481</v>
      </c>
      <c r="AG43" s="1" t="s">
        <v>205</v>
      </c>
      <c r="AL43" s="1" t="s">
        <v>176</v>
      </c>
      <c r="AM43" s="3">
        <f>IF('Optimize Tool'!E9="-",0,'Optimize Tool'!E9)</f>
        <v>0</v>
      </c>
      <c r="AN43" s="1" t="str">
        <f>'Optimize Tool'!F9</f>
        <v>-</v>
      </c>
      <c r="AO43" s="5">
        <f t="shared" si="21"/>
        <v>0</v>
      </c>
      <c r="AP43" s="1" t="e">
        <f t="shared" si="22"/>
        <v>#DIV/0!</v>
      </c>
    </row>
    <row r="44" spans="2:44" x14ac:dyDescent="0.3">
      <c r="B44" s="1" t="s">
        <v>101</v>
      </c>
      <c r="R44" s="74">
        <f t="shared" si="20"/>
        <v>0.38</v>
      </c>
      <c r="S44" s="74">
        <f t="shared" si="20"/>
        <v>0.77</v>
      </c>
      <c r="AG44" s="1" t="s">
        <v>233</v>
      </c>
      <c r="AL44" s="1" t="s">
        <v>177</v>
      </c>
      <c r="AM44" s="3">
        <f>IF('Optimize Tool'!E10="-",0,'Optimize Tool'!E10)</f>
        <v>0</v>
      </c>
      <c r="AN44" s="1" t="str">
        <f>'Optimize Tool'!F10</f>
        <v>-</v>
      </c>
      <c r="AO44" s="5">
        <f t="shared" si="21"/>
        <v>0</v>
      </c>
      <c r="AP44" s="1" t="e">
        <f t="shared" si="22"/>
        <v>#DIV/0!</v>
      </c>
    </row>
    <row r="45" spans="2:44" x14ac:dyDescent="0.3">
      <c r="R45" s="74">
        <f t="shared" si="20"/>
        <v>0.3</v>
      </c>
      <c r="S45" s="74">
        <f t="shared" si="20"/>
        <v>0.6</v>
      </c>
      <c r="AA45" s="1" t="s">
        <v>255</v>
      </c>
      <c r="AB45" s="1">
        <v>0.42</v>
      </c>
      <c r="AD45" s="1" t="s">
        <v>399</v>
      </c>
      <c r="AE45" s="1" t="s">
        <v>448</v>
      </c>
      <c r="AF45" s="1">
        <v>500</v>
      </c>
      <c r="AG45" s="1" t="s">
        <v>202</v>
      </c>
      <c r="AL45" s="1" t="s">
        <v>178</v>
      </c>
      <c r="AM45" s="3">
        <f>IF('Optimize Tool'!E11="-",0,'Optimize Tool'!E11)</f>
        <v>0</v>
      </c>
      <c r="AN45" s="1" t="str">
        <f>'Optimize Tool'!F11</f>
        <v>-</v>
      </c>
      <c r="AO45" s="5">
        <f t="shared" si="21"/>
        <v>0</v>
      </c>
      <c r="AP45" s="1" t="e">
        <f t="shared" si="22"/>
        <v>#DIV/0!</v>
      </c>
    </row>
    <row r="46" spans="2:44" x14ac:dyDescent="0.3">
      <c r="B46" s="35" t="s">
        <v>102</v>
      </c>
      <c r="C46" s="54">
        <v>100</v>
      </c>
      <c r="D46" s="36">
        <v>36</v>
      </c>
      <c r="N46" s="6"/>
      <c r="R46" s="74">
        <f t="shared" si="20"/>
        <v>0.25</v>
      </c>
      <c r="S46" s="74">
        <f t="shared" si="20"/>
        <v>0.53</v>
      </c>
      <c r="AA46" s="1" t="s">
        <v>257</v>
      </c>
      <c r="AB46" s="1">
        <v>0.42</v>
      </c>
      <c r="AD46" s="1" t="s">
        <v>411</v>
      </c>
      <c r="AE46" s="1" t="s">
        <v>400</v>
      </c>
      <c r="AF46" s="1">
        <v>400</v>
      </c>
      <c r="AG46" s="1" t="s">
        <v>203</v>
      </c>
      <c r="AL46" s="1" t="s">
        <v>80</v>
      </c>
      <c r="AM46" s="3">
        <f>SUM(AM41:AM45)</f>
        <v>0</v>
      </c>
      <c r="AN46" s="1" t="s">
        <v>80</v>
      </c>
      <c r="AO46" s="10">
        <f>SUM(AO41:AO45)</f>
        <v>0</v>
      </c>
    </row>
    <row r="47" spans="2:44" x14ac:dyDescent="0.3">
      <c r="B47" s="38"/>
      <c r="C47" s="1">
        <v>35</v>
      </c>
      <c r="D47" s="39">
        <v>45</v>
      </c>
      <c r="R47" s="74">
        <f t="shared" si="20"/>
        <v>0.2</v>
      </c>
      <c r="S47" s="74">
        <f t="shared" si="20"/>
        <v>0.44</v>
      </c>
      <c r="AA47" s="1" t="s">
        <v>258</v>
      </c>
      <c r="AB47" s="1">
        <v>0.45</v>
      </c>
      <c r="AD47" s="1" t="s">
        <v>412</v>
      </c>
      <c r="AE47" s="1" t="s">
        <v>125</v>
      </c>
      <c r="AF47" s="1">
        <v>660</v>
      </c>
      <c r="AL47" s="1" t="s">
        <v>593</v>
      </c>
      <c r="AM47" s="3">
        <f>SUM(AM44:AM45)</f>
        <v>0</v>
      </c>
    </row>
    <row r="48" spans="2:44" x14ac:dyDescent="0.3">
      <c r="B48" s="38" t="s">
        <v>103</v>
      </c>
      <c r="C48" s="1">
        <v>100</v>
      </c>
      <c r="D48" s="39">
        <v>27</v>
      </c>
      <c r="R48" s="74">
        <f t="shared" si="20"/>
        <v>0.1</v>
      </c>
      <c r="S48" s="74">
        <f t="shared" si="20"/>
        <v>0.32</v>
      </c>
      <c r="AA48" s="1" t="s">
        <v>259</v>
      </c>
      <c r="AB48" s="1">
        <v>0.45</v>
      </c>
      <c r="AE48" s="1" t="s">
        <v>449</v>
      </c>
      <c r="AF48" s="1">
        <v>823</v>
      </c>
    </row>
    <row r="49" spans="2:28" x14ac:dyDescent="0.3">
      <c r="B49" s="38"/>
      <c r="C49" s="1">
        <v>85</v>
      </c>
      <c r="D49" s="39">
        <v>27</v>
      </c>
      <c r="R49" s="74">
        <f t="shared" si="20"/>
        <v>0.02</v>
      </c>
      <c r="S49" s="74">
        <f t="shared" si="20"/>
        <v>0.14000000000000001</v>
      </c>
      <c r="AA49" s="1" t="s">
        <v>260</v>
      </c>
      <c r="AB49" s="1">
        <v>0.45</v>
      </c>
    </row>
    <row r="50" spans="2:28" x14ac:dyDescent="0.3">
      <c r="B50" s="38"/>
      <c r="C50" s="1">
        <v>15</v>
      </c>
      <c r="D50" s="39">
        <v>37</v>
      </c>
      <c r="R50" s="74">
        <f>R37/100</f>
        <v>0</v>
      </c>
      <c r="S50" s="74">
        <f>S37/100</f>
        <v>0.06</v>
      </c>
      <c r="AA50" s="1" t="s">
        <v>479</v>
      </c>
      <c r="AB50" s="1">
        <v>0.36</v>
      </c>
    </row>
    <row r="51" spans="2:28" x14ac:dyDescent="0.3">
      <c r="B51" s="38"/>
      <c r="C51" s="1">
        <v>0</v>
      </c>
      <c r="D51" s="39">
        <v>37</v>
      </c>
      <c r="R51" s="74">
        <f t="shared" si="20"/>
        <v>0</v>
      </c>
      <c r="S51" s="74">
        <f t="shared" si="20"/>
        <v>2.3E-2</v>
      </c>
      <c r="AA51" s="1" t="s">
        <v>480</v>
      </c>
      <c r="AB51" s="1">
        <v>0.65</v>
      </c>
    </row>
    <row r="52" spans="2:28" x14ac:dyDescent="0.3">
      <c r="B52" s="38" t="s">
        <v>104</v>
      </c>
      <c r="C52" s="1">
        <v>75</v>
      </c>
      <c r="D52" s="55">
        <f>(C52-C49)/(C50-C49)*(D50-D49)+D49</f>
        <v>28.428571428571427</v>
      </c>
    </row>
    <row r="53" spans="2:28" x14ac:dyDescent="0.3">
      <c r="B53" s="38"/>
      <c r="C53" s="1">
        <v>75</v>
      </c>
      <c r="D53" s="55">
        <f>(C52-C46)/(C47-C46)*(D47-D46)+D46</f>
        <v>39.46153846153846</v>
      </c>
      <c r="P53" s="6"/>
    </row>
    <row r="54" spans="2:28" x14ac:dyDescent="0.3">
      <c r="B54" s="38" t="s">
        <v>105</v>
      </c>
      <c r="C54" s="1">
        <v>45</v>
      </c>
      <c r="D54" s="55">
        <f>(C54-C49)/(C50-C49)*(D50-D49)+D49</f>
        <v>32.714285714285715</v>
      </c>
    </row>
    <row r="55" spans="2:28" x14ac:dyDescent="0.3">
      <c r="B55" s="47"/>
      <c r="C55" s="56">
        <v>45</v>
      </c>
      <c r="D55" s="57">
        <f>(C54-C46)/(C47-C46)*(D47-D46)+D46</f>
        <v>43.615384615384613</v>
      </c>
    </row>
    <row r="57" spans="2:28" ht="16.2" thickBot="1" x14ac:dyDescent="0.35"/>
    <row r="58" spans="2:28" x14ac:dyDescent="0.3">
      <c r="B58" s="1" t="s">
        <v>106</v>
      </c>
      <c r="J58" s="7"/>
      <c r="K58" s="7"/>
      <c r="L58" s="60"/>
    </row>
    <row r="59" spans="2:28" ht="16.2" thickBot="1" x14ac:dyDescent="0.35">
      <c r="L59" s="63"/>
    </row>
    <row r="60" spans="2:28" x14ac:dyDescent="0.3">
      <c r="B60" s="58" t="s">
        <v>107</v>
      </c>
      <c r="C60" s="59" t="e">
        <f>'2 Aggregate System'!#REF!</f>
        <v>#REF!</v>
      </c>
      <c r="D60" s="58" t="s">
        <v>97</v>
      </c>
      <c r="E60" s="60"/>
      <c r="F60" s="7"/>
      <c r="G60" s="58" t="s">
        <v>98</v>
      </c>
      <c r="H60" s="60"/>
      <c r="I60" s="7"/>
      <c r="L60" s="63"/>
    </row>
    <row r="61" spans="2:28" x14ac:dyDescent="0.3">
      <c r="B61" s="2"/>
      <c r="C61" s="61"/>
      <c r="D61" s="62">
        <v>0.31172925995349998</v>
      </c>
      <c r="E61" s="63"/>
      <c r="G61" s="2"/>
      <c r="H61" s="63"/>
      <c r="L61" s="63"/>
    </row>
    <row r="62" spans="2:28" ht="16.2" thickBot="1" x14ac:dyDescent="0.35">
      <c r="B62" s="2"/>
      <c r="D62" s="62">
        <f>D63</f>
        <v>1.1899115514578733</v>
      </c>
      <c r="E62" s="63">
        <v>0</v>
      </c>
      <c r="G62" s="62">
        <v>0.31172925995349998</v>
      </c>
      <c r="H62" s="64">
        <v>0</v>
      </c>
      <c r="L62" s="63"/>
    </row>
    <row r="63" spans="2:28" x14ac:dyDescent="0.3">
      <c r="B63" s="2"/>
      <c r="D63" s="62">
        <f>'6 Agg Analysis'!D35^0.45</f>
        <v>1.1899115514578733</v>
      </c>
      <c r="E63" s="65" t="e">
        <f>((D63-D61)/(D65-D61))*E65</f>
        <v>#REF!</v>
      </c>
      <c r="G63" s="62">
        <f>'6 Agg Analysis'!D32</f>
        <v>3.116086507375345</v>
      </c>
      <c r="H63" s="64" t="e">
        <f>(G63-G62)/(G64-G62)*H64</f>
        <v>#REF!</v>
      </c>
      <c r="M63" s="66">
        <f>'6 Agg Analysis'!D30</f>
        <v>4.2566996126039234</v>
      </c>
      <c r="N63" s="60">
        <v>100</v>
      </c>
    </row>
    <row r="64" spans="2:28" ht="16.2" thickBot="1" x14ac:dyDescent="0.35">
      <c r="B64" s="2"/>
      <c r="D64" s="62">
        <f>'6 Agg Analysis'!D32</f>
        <v>3.116086507375345</v>
      </c>
      <c r="E64" s="65" t="e">
        <f>((D64-D61)/(D65-D61))*E65</f>
        <v>#REF!</v>
      </c>
      <c r="G64" s="62" t="e">
        <f>E69</f>
        <v>#REF!</v>
      </c>
      <c r="H64" s="63">
        <v>100</v>
      </c>
      <c r="J64" s="8"/>
      <c r="K64" s="8"/>
      <c r="L64" s="8"/>
      <c r="M64" s="62">
        <v>0.31172925995349998</v>
      </c>
      <c r="N64" s="63">
        <v>0</v>
      </c>
    </row>
    <row r="65" spans="2:14" x14ac:dyDescent="0.3">
      <c r="B65" s="2"/>
      <c r="D65" s="62" t="e">
        <f>E67</f>
        <v>#REF!</v>
      </c>
      <c r="E65" s="63">
        <v>100</v>
      </c>
      <c r="G65" s="2"/>
      <c r="H65" s="63"/>
      <c r="J65" s="68">
        <v>0.75</v>
      </c>
      <c r="K65" s="68">
        <v>12.5</v>
      </c>
      <c r="L65" s="69">
        <f t="shared" ref="L65:L70" si="23">K65^0.45</f>
        <v>3.116086507375345</v>
      </c>
      <c r="M65" s="62"/>
      <c r="N65" s="63"/>
    </row>
    <row r="66" spans="2:14" ht="16.2" thickBot="1" x14ac:dyDescent="0.35">
      <c r="B66" s="9"/>
      <c r="C66" s="8"/>
      <c r="D66" s="9"/>
      <c r="E66" s="67"/>
      <c r="F66" s="8"/>
      <c r="G66" s="9"/>
      <c r="H66" s="67"/>
      <c r="I66" s="8"/>
      <c r="J66" s="6">
        <v>1</v>
      </c>
      <c r="K66" s="6">
        <v>19.5</v>
      </c>
      <c r="L66" s="70">
        <f t="shared" si="23"/>
        <v>3.8064100829378442</v>
      </c>
      <c r="M66" s="62">
        <f>'6 Agg Analysis'!D29</f>
        <v>5.1087431744234335</v>
      </c>
      <c r="N66" s="63">
        <v>100</v>
      </c>
    </row>
    <row r="67" spans="2:14" x14ac:dyDescent="0.3">
      <c r="B67" s="2"/>
      <c r="D67" s="68" t="e">
        <f>VLOOKUP(D68,H65:J70,3)</f>
        <v>#REF!</v>
      </c>
      <c r="E67" s="68" t="e">
        <f>VLOOKUP(D67,H65:L70,5)</f>
        <v>#REF!</v>
      </c>
      <c r="F67" s="68">
        <v>0.31172925995349998</v>
      </c>
      <c r="H67" s="66">
        <v>0.5</v>
      </c>
      <c r="I67" s="68">
        <f>I69/2</f>
        <v>0.375</v>
      </c>
      <c r="J67" s="6">
        <v>1.5</v>
      </c>
      <c r="K67" s="6">
        <v>25</v>
      </c>
      <c r="L67" s="70">
        <f t="shared" si="23"/>
        <v>4.2566996126039234</v>
      </c>
      <c r="M67" s="62">
        <v>0.31172925995349998</v>
      </c>
      <c r="N67" s="63">
        <v>0</v>
      </c>
    </row>
    <row r="68" spans="2:14" x14ac:dyDescent="0.3">
      <c r="B68" s="2"/>
      <c r="C68" s="53" t="s">
        <v>108</v>
      </c>
      <c r="D68" s="6" t="e">
        <f>C60</f>
        <v>#REF!</v>
      </c>
      <c r="E68" s="6" t="e">
        <f>VLOOKUP(D68,H65:L70,5)</f>
        <v>#REF!</v>
      </c>
      <c r="F68" s="6">
        <v>0.31172925995349998</v>
      </c>
      <c r="H68" s="62">
        <v>0.75</v>
      </c>
      <c r="I68" s="6">
        <v>0.5</v>
      </c>
      <c r="J68" s="6">
        <v>2</v>
      </c>
      <c r="K68" s="6">
        <v>37.5</v>
      </c>
      <c r="L68" s="70">
        <f t="shared" si="23"/>
        <v>5.1087431744234335</v>
      </c>
      <c r="M68" s="62"/>
      <c r="N68" s="63"/>
    </row>
    <row r="69" spans="2:14" x14ac:dyDescent="0.3">
      <c r="B69" s="2"/>
      <c r="D69" s="6" t="e">
        <f>VLOOKUP(D68,H65:J70,2)</f>
        <v>#REF!</v>
      </c>
      <c r="E69" s="6" t="e">
        <f>VLOOKUP(D69,H65:L70,5)</f>
        <v>#REF!</v>
      </c>
      <c r="F69" s="6">
        <v>0.31172925995349998</v>
      </c>
      <c r="H69" s="62">
        <v>1</v>
      </c>
      <c r="I69" s="6">
        <v>0.75</v>
      </c>
      <c r="J69" s="6">
        <v>3</v>
      </c>
      <c r="K69" s="6">
        <v>50</v>
      </c>
      <c r="L69" s="70">
        <f t="shared" si="23"/>
        <v>5.8148230317277987</v>
      </c>
      <c r="M69" s="62">
        <f>'6 Agg Analysis'!D31</f>
        <v>3.8064100829378442</v>
      </c>
      <c r="N69" s="63">
        <v>100</v>
      </c>
    </row>
    <row r="70" spans="2:14" ht="16.2" thickBot="1" x14ac:dyDescent="0.35">
      <c r="B70" s="2"/>
      <c r="H70" s="62">
        <v>1.5</v>
      </c>
      <c r="I70" s="6">
        <v>1</v>
      </c>
      <c r="J70" s="72">
        <v>4</v>
      </c>
      <c r="K70" s="72">
        <v>75</v>
      </c>
      <c r="L70" s="73">
        <f t="shared" si="23"/>
        <v>6.9787488376816533</v>
      </c>
      <c r="M70" s="71">
        <v>0.31172925995349998</v>
      </c>
      <c r="N70" s="67">
        <v>0</v>
      </c>
    </row>
    <row r="71" spans="2:14" x14ac:dyDescent="0.3">
      <c r="B71" s="2"/>
      <c r="E71" s="6">
        <v>0.31172925995349998</v>
      </c>
      <c r="F71" s="6">
        <v>0</v>
      </c>
      <c r="H71" s="62">
        <v>2</v>
      </c>
      <c r="I71" s="6">
        <v>1.5</v>
      </c>
    </row>
    <row r="72" spans="2:14" ht="16.2" thickBot="1" x14ac:dyDescent="0.35">
      <c r="B72" s="9"/>
      <c r="C72" s="8"/>
      <c r="D72" s="8"/>
      <c r="E72" s="8"/>
      <c r="F72" s="8"/>
      <c r="G72" s="8"/>
      <c r="H72" s="71">
        <v>3</v>
      </c>
      <c r="I72" s="72">
        <v>2</v>
      </c>
    </row>
  </sheetData>
  <mergeCells count="21">
    <mergeCell ref="A1:G1"/>
    <mergeCell ref="I1:L1"/>
    <mergeCell ref="Q1:AF4"/>
    <mergeCell ref="AB6:AF6"/>
    <mergeCell ref="AA33:AB33"/>
    <mergeCell ref="AD33:AE33"/>
    <mergeCell ref="AC24:AE24"/>
    <mergeCell ref="R23:S23"/>
    <mergeCell ref="AA32:AE32"/>
    <mergeCell ref="AH23:AJ23"/>
    <mergeCell ref="AG40:AH40"/>
    <mergeCell ref="AJ6:AK6"/>
    <mergeCell ref="AH6:AI6"/>
    <mergeCell ref="AM22:AR22"/>
    <mergeCell ref="AP37:AQ37"/>
    <mergeCell ref="AM39:AO39"/>
    <mergeCell ref="AH5:AK5"/>
    <mergeCell ref="AV5:AY5"/>
    <mergeCell ref="AV6:AW6"/>
    <mergeCell ref="AX6:AY6"/>
    <mergeCell ref="AN6:AR6"/>
  </mergeCells>
  <pageMargins left="0.7" right="0.7" top="0.75" bottom="0.75" header="0.3" footer="0.3"/>
  <pageSetup scale="22" orientation="portrait" horizontalDpi="200" verticalDpi="200" r:id="rId1"/>
  <ignoredErrors>
    <ignoredError sqref="AP25:AP36" formulaRange="1"/>
  </ignoredError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74656E-41D3-4215-BBA1-295F82CD1309}">
  <sheetPr>
    <tabColor rgb="FFFF0000"/>
  </sheetPr>
  <dimension ref="A1:AB58"/>
  <sheetViews>
    <sheetView zoomScaleNormal="100" workbookViewId="0">
      <selection activeCell="C6" sqref="C6"/>
    </sheetView>
  </sheetViews>
  <sheetFormatPr defaultColWidth="8.88671875" defaultRowHeight="14.4" x14ac:dyDescent="0.3"/>
  <cols>
    <col min="1" max="2" width="8.88671875" style="92"/>
    <col min="3" max="3" width="20.33203125" style="92" bestFit="1" customWidth="1"/>
    <col min="4" max="4" width="16.109375" style="92" bestFit="1" customWidth="1"/>
    <col min="5" max="5" width="14.6640625" style="92" bestFit="1" customWidth="1"/>
    <col min="6" max="6" width="12.44140625" style="92" bestFit="1" customWidth="1"/>
    <col min="7" max="7" width="12.44140625" style="92" customWidth="1"/>
    <col min="8" max="8" width="12.44140625" style="92" bestFit="1" customWidth="1"/>
    <col min="9" max="9" width="17.33203125" style="92" bestFit="1" customWidth="1"/>
    <col min="10" max="10" width="12.5546875" style="92" bestFit="1" customWidth="1"/>
    <col min="11" max="11" width="12.33203125" style="92" bestFit="1" customWidth="1"/>
    <col min="12" max="12" width="15.33203125" style="92" bestFit="1" customWidth="1"/>
    <col min="13" max="13" width="16.5546875" style="92" bestFit="1" customWidth="1"/>
    <col min="14" max="14" width="12.109375" style="92" customWidth="1"/>
    <col min="15" max="15" width="17.33203125" style="92" bestFit="1" customWidth="1"/>
    <col min="16" max="16" width="16.33203125" style="92" bestFit="1" customWidth="1"/>
    <col min="17" max="17" width="16.6640625" style="92" bestFit="1" customWidth="1"/>
    <col min="18" max="18" width="16.33203125" style="92" bestFit="1" customWidth="1"/>
    <col min="19" max="19" width="12.6640625" style="92" bestFit="1" customWidth="1"/>
    <col min="20" max="20" width="17.6640625" style="92" bestFit="1" customWidth="1"/>
    <col min="21" max="21" width="8.88671875" style="92" customWidth="1"/>
    <col min="22" max="22" width="13.88671875" style="92" bestFit="1" customWidth="1"/>
    <col min="23" max="23" width="16.109375" style="92" bestFit="1" customWidth="1"/>
    <col min="24" max="24" width="13.88671875" style="92" bestFit="1" customWidth="1"/>
    <col min="25" max="25" width="16.33203125" style="92" bestFit="1" customWidth="1"/>
    <col min="26" max="26" width="13.88671875" style="92" bestFit="1" customWidth="1"/>
    <col min="27" max="27" width="17.6640625" style="92" bestFit="1" customWidth="1"/>
    <col min="28" max="28" width="19" style="92" bestFit="1" customWidth="1"/>
    <col min="29" max="29" width="17.6640625" style="92" bestFit="1" customWidth="1"/>
    <col min="30" max="30" width="19" style="92" bestFit="1" customWidth="1"/>
    <col min="31" max="16384" width="8.88671875" style="92"/>
  </cols>
  <sheetData>
    <row r="1" spans="1:28" ht="16.2" thickBot="1" x14ac:dyDescent="0.35">
      <c r="A1" s="826" t="s">
        <v>377</v>
      </c>
      <c r="B1" s="827"/>
      <c r="C1" s="827"/>
      <c r="D1" s="827"/>
      <c r="E1" s="827"/>
      <c r="F1" s="1407" t="s">
        <v>365</v>
      </c>
      <c r="G1" s="1407"/>
      <c r="H1" s="1408"/>
    </row>
    <row r="2" spans="1:28" ht="15" thickBot="1" x14ac:dyDescent="0.35">
      <c r="A2" s="504" t="str">
        <f>Directions!A2</f>
        <v>DT2221     08/2022</v>
      </c>
      <c r="I2" s="1033" t="s">
        <v>431</v>
      </c>
      <c r="J2" s="1389"/>
      <c r="K2" s="1389"/>
      <c r="L2" s="1389"/>
      <c r="M2" s="1390"/>
      <c r="O2" s="1033" t="s">
        <v>404</v>
      </c>
      <c r="P2" s="1389"/>
      <c r="Q2" s="1389"/>
      <c r="R2" s="1389"/>
      <c r="S2" s="1390"/>
      <c r="V2" s="1399" t="s">
        <v>316</v>
      </c>
      <c r="W2" s="1400"/>
      <c r="X2" s="1400"/>
      <c r="Y2" s="1400"/>
      <c r="Z2" s="1400"/>
      <c r="AA2" s="1400"/>
      <c r="AB2" s="1401"/>
    </row>
    <row r="3" spans="1:28" ht="15" thickBot="1" x14ac:dyDescent="0.35">
      <c r="I3" s="1386" t="s">
        <v>54</v>
      </c>
      <c r="J3" s="1031" t="s">
        <v>270</v>
      </c>
      <c r="K3" s="1032"/>
      <c r="L3" s="968" t="s">
        <v>324</v>
      </c>
      <c r="M3" s="1386" t="s">
        <v>278</v>
      </c>
      <c r="O3" s="1386" t="s">
        <v>54</v>
      </c>
      <c r="P3" s="1031" t="s">
        <v>270</v>
      </c>
      <c r="Q3" s="1032"/>
      <c r="R3" s="968" t="s">
        <v>324</v>
      </c>
      <c r="S3" s="1386" t="s">
        <v>278</v>
      </c>
      <c r="V3" s="1031" t="s">
        <v>315</v>
      </c>
      <c r="W3" s="1324"/>
      <c r="X3" s="1324"/>
      <c r="Y3" s="1032"/>
      <c r="Z3" s="1031" t="s">
        <v>278</v>
      </c>
      <c r="AA3" s="1324"/>
      <c r="AB3" s="1032"/>
    </row>
    <row r="4" spans="1:28" ht="15" thickBot="1" x14ac:dyDescent="0.35">
      <c r="C4" s="1411" t="s">
        <v>408</v>
      </c>
      <c r="D4" s="1412"/>
      <c r="E4" s="1412"/>
      <c r="F4" s="1413"/>
      <c r="I4" s="1404"/>
      <c r="J4" s="130" t="s">
        <v>241</v>
      </c>
      <c r="K4" s="130" t="s">
        <v>242</v>
      </c>
      <c r="L4" s="1409"/>
      <c r="M4" s="1410"/>
      <c r="O4" s="1037"/>
      <c r="P4" s="130" t="s">
        <v>241</v>
      </c>
      <c r="Q4" s="130" t="s">
        <v>242</v>
      </c>
      <c r="R4" s="969"/>
      <c r="S4" s="1037"/>
      <c r="V4" s="725" t="s">
        <v>23</v>
      </c>
      <c r="W4" s="726" t="s">
        <v>315</v>
      </c>
      <c r="X4" s="726" t="s">
        <v>327</v>
      </c>
      <c r="Y4" s="727" t="s">
        <v>174</v>
      </c>
      <c r="Z4" s="725" t="s">
        <v>327</v>
      </c>
      <c r="AA4" s="726" t="s">
        <v>174</v>
      </c>
      <c r="AB4" s="727" t="s">
        <v>328</v>
      </c>
    </row>
    <row r="5" spans="1:28" ht="16.2" thickBot="1" x14ac:dyDescent="0.35">
      <c r="C5" s="117" t="s">
        <v>79</v>
      </c>
      <c r="D5" s="117" t="s">
        <v>182</v>
      </c>
      <c r="E5" s="117" t="s">
        <v>405</v>
      </c>
      <c r="F5" s="117" t="s">
        <v>403</v>
      </c>
      <c r="I5" s="76" t="s">
        <v>33</v>
      </c>
      <c r="J5" s="601">
        <v>0</v>
      </c>
      <c r="K5" s="601">
        <v>0</v>
      </c>
      <c r="L5" s="648" t="str">
        <f>IF(AND($K$21=0,$K$22=0,$K$23=0,$K$24=0,$K$25=0),"-",IF(OR($K$41="AIR ?",$F$25="W/CM ERROR",$F$24="CM ERROR"),"CM ERROR",IF($K$46="AGG. ERROR","-",'6 Agg Analysis'!AJ25)))</f>
        <v>-</v>
      </c>
      <c r="M5" s="130" t="str">
        <f t="shared" ref="M5:M17" si="0">IF(AND($K$21=0,$K$22=0,$K$23=0,$K$24=0,$K$25=0),"-",IF($K$50&lt;1.25,"ERROR: vp/vv",IF($M$32="AIR ?","AIR ?",IF($F$25="W/CM ERROR","W/CM ERROR",IF(OR($K$44="AGG. ERROR",$K$45="AGG. ERROR"),"AGG. ERROR",IF(AND(L5&gt;=J5,L5&lt;=K5),"Pass","Fail"))))))</f>
        <v>-</v>
      </c>
      <c r="O5" s="600" t="s">
        <v>33</v>
      </c>
      <c r="P5" s="588">
        <v>0</v>
      </c>
      <c r="Q5" s="588">
        <v>0</v>
      </c>
      <c r="R5" s="649" t="str">
        <f>IF(AND($R$21=0,$R$22=0,$R$23=0,$R$24=0,$R$25=0),"-",IF(OR($K$41="AIR ?",$F$25="W/CM ERROR",$F$24="CM ERROR"),"CM ERROR",IF($Q$46="AGG. ERROR","-",'6 Agg Analysis'!AT8)))</f>
        <v>CM ERROR</v>
      </c>
      <c r="S5" s="601" t="str">
        <f>IF(AND($Q$21=0,$Q$22=0,$Q$23=0,$Q$24=0,$Q$25=0),"-",IF($Q$50&lt;1.25,"ERROR: vp/vv",IF($T$32="AIR ?","AIR ?",IF($F$25="W/CM ERROR","W/CM ERROR",IF(OR($Q$44="AGG. ERROR",$Q$45="AGG. ERROR"),"AGG. ERROR",IF(AND(R5&gt;=P5,R5&lt;=Q5),"Pass","Fail"))))))</f>
        <v>-</v>
      </c>
      <c r="V5" s="85" t="s">
        <v>158</v>
      </c>
      <c r="W5" s="573">
        <f>'2 Aggregate System'!B13</f>
        <v>0</v>
      </c>
      <c r="X5" s="573">
        <f>'2 Aggregate System'!D13</f>
        <v>0</v>
      </c>
      <c r="Y5" s="728">
        <f>'2 Aggregate System'!F13</f>
        <v>0</v>
      </c>
      <c r="Z5" s="85" t="str">
        <f>IF(X5=0,"Source ID #?",X5)</f>
        <v>Source ID #?</v>
      </c>
      <c r="AA5" s="573" t="str">
        <f>IF(AND(W5&gt;0,Y5=0),"Test #?",IF(AND(W5=0,Y5=0),"-",Y5))</f>
        <v>-</v>
      </c>
      <c r="AB5" s="728" t="str">
        <f>IF(AND(W5=0,X5=0,Y5=0),"-",IF(AND(W5=0,X5&gt;0,Y5&gt;0),"Source Name?",IF(AND(W5&gt;0,X5=0,Y5&gt;0),"Source ID?",IF(AND(W5=0,X5=0,Y5&gt;0),"Source Name?",_xlfn.CONCAT(W5," / ",Z5)))))</f>
        <v>-</v>
      </c>
    </row>
    <row r="6" spans="1:28" ht="15.6" x14ac:dyDescent="0.3">
      <c r="C6" s="130" t="s">
        <v>158</v>
      </c>
      <c r="D6" s="602">
        <f>'2 Aggregate System'!I13</f>
        <v>0</v>
      </c>
      <c r="E6" s="130">
        <f>IF(AND('2 Aggregate System'!$B$26=0,K21&gt;0),"GRAD. ?",IF(AND('4 Mix Design'!D14&gt;0,D6=0),"SG?",D6))</f>
        <v>0</v>
      </c>
      <c r="F6" s="603">
        <f>IF(AND('2 Aggregate System'!$B$26=0,Q21&gt;0),"GRAD. ?",IF(AND('Optimize Tool'!D7&gt;0,D6=0),"SG?",D6))</f>
        <v>0</v>
      </c>
      <c r="I6" s="77" t="s">
        <v>34</v>
      </c>
      <c r="J6" s="588">
        <v>0</v>
      </c>
      <c r="K6" s="588">
        <v>5</v>
      </c>
      <c r="L6" s="649" t="str">
        <f>IF(AND($K$21=0,$K$22=0,$K$23=0,$K$24=0,$K$25=0),"-",IF(OR($K$41="AIR ?",$F$25="W/CM ERROR",$F$24="CM ERROR"),"CM ERROR",IF($K$46="AGG. ERROR","-",'6 Agg Analysis'!AJ26)))</f>
        <v>-</v>
      </c>
      <c r="M6" s="588" t="str">
        <f t="shared" si="0"/>
        <v>-</v>
      </c>
      <c r="O6" s="732" t="s">
        <v>34</v>
      </c>
      <c r="P6" s="588">
        <v>0</v>
      </c>
      <c r="Q6" s="588">
        <v>5</v>
      </c>
      <c r="R6" s="596" t="str">
        <f>IF(AND($R$21=0,$R$22=0,$R$23=0,$R$24=0,$R$25=0),"-",IF(OR($K$41="AIR ?",$F$25="W/CM ERROR",$F$24="CM ERROR"),"CM ERROR",IF($Q$46="AGG. ERROR","-",'6 Agg Analysis'!AT9)))</f>
        <v>CM ERROR</v>
      </c>
      <c r="S6" s="588" t="str">
        <f t="shared" ref="S6:S17" si="1">IF(AND($Q$21=0,$Q$22=0,$Q$23=0,$Q$24=0,$Q$25=0),"-",IF($Q$50&lt;1.25,"ERROR: vp/vv",IF($T$32="AIR ?","AIR ?",IF($F$25="W/CM ERROR","W/CM ERROR",IF(OR($Q$44="AGG. ERROR",$Q$45="AGG. ERROR"),"AGG. ERROR",IF(AND(R6&gt;=P6,R6&lt;=Q6),"Pass","Fail"))))))</f>
        <v>-</v>
      </c>
      <c r="V6" s="85" t="s">
        <v>159</v>
      </c>
      <c r="W6" s="573">
        <f>'2 Aggregate System'!B14</f>
        <v>0</v>
      </c>
      <c r="X6" s="573">
        <f>'2 Aggregate System'!D14</f>
        <v>0</v>
      </c>
      <c r="Y6" s="728">
        <f>'2 Aggregate System'!F14</f>
        <v>0</v>
      </c>
      <c r="Z6" s="85" t="str">
        <f t="shared" ref="Z6:Z9" si="2">IF(X6=0,"Source ID #?",X6)</f>
        <v>Source ID #?</v>
      </c>
      <c r="AA6" s="573" t="str">
        <f>IF(AND(W6&gt;0,Y6=0),"Test #?",IF(AND(W6=0,Y6=0),"-",Y6))</f>
        <v>-</v>
      </c>
      <c r="AB6" s="728" t="str">
        <f t="shared" ref="AB6:AB9" si="3">IF(AND(W6=0,X6=0,Y6=0),"-",IF(AND(W6=0,X6&gt;0,Y6&gt;0),"Source Name?",IF(AND(W6&gt;0,X6=0,Y6&gt;0),"Source ID?",IF(AND(W6=0,X6=0,Y6&gt;0),"Source Name?",_xlfn.CONCAT(W6," / ",Z6)))))</f>
        <v>-</v>
      </c>
    </row>
    <row r="7" spans="1:28" ht="15.6" x14ac:dyDescent="0.3">
      <c r="C7" s="588" t="s">
        <v>159</v>
      </c>
      <c r="D7" s="591">
        <f>'2 Aggregate System'!I14</f>
        <v>0</v>
      </c>
      <c r="E7" s="588">
        <f>IF(AND('2 Aggregate System'!$C$26=0,K22&gt;0),"GRAD. ?",IF(AND('4 Mix Design'!D15&gt;0,D7=0),"SG?",D7))</f>
        <v>0</v>
      </c>
      <c r="F7" s="729">
        <f>IF(AND('2 Aggregate System'!$C$26=0,Q22&gt;0),"GRAD. ?",IF(AND('Optimize Tool'!D8&gt;0,D7=0),"SG?",D7))</f>
        <v>0</v>
      </c>
      <c r="I7" s="77" t="s">
        <v>35</v>
      </c>
      <c r="J7" s="588">
        <v>0</v>
      </c>
      <c r="K7" s="588">
        <v>16</v>
      </c>
      <c r="L7" s="649" t="str">
        <f>IF(AND($K$21=0,$K$22=0,$K$23=0,$K$24=0,$K$25=0),"-",IF(OR($K$41="AIR ?",$F$25="W/CM ERROR",$F$24="CM ERROR"),"CM ERROR",IF($K$46="AGG. ERROR","-",'6 Agg Analysis'!AJ27)))</f>
        <v>-</v>
      </c>
      <c r="M7" s="588" t="str">
        <f t="shared" si="0"/>
        <v>-</v>
      </c>
      <c r="O7" s="732" t="s">
        <v>35</v>
      </c>
      <c r="P7" s="588">
        <v>0</v>
      </c>
      <c r="Q7" s="588">
        <v>16</v>
      </c>
      <c r="R7" s="596" t="str">
        <f>IF(AND($R$21=0,$R$22=0,$R$23=0,$R$24=0,$R$25=0),"-",IF(OR($K$41="AIR ?",$F$25="W/CM ERROR",$F$24="CM ERROR"),"CM ERROR",IF($Q$46="AGG. ERROR","-",'6 Agg Analysis'!AT10)))</f>
        <v>CM ERROR</v>
      </c>
      <c r="S7" s="588" t="str">
        <f t="shared" si="1"/>
        <v>-</v>
      </c>
      <c r="V7" s="85" t="s">
        <v>176</v>
      </c>
      <c r="W7" s="573">
        <f>'2 Aggregate System'!B15</f>
        <v>0</v>
      </c>
      <c r="X7" s="573">
        <f>'2 Aggregate System'!D15</f>
        <v>0</v>
      </c>
      <c r="Y7" s="728">
        <f>'2 Aggregate System'!F15</f>
        <v>0</v>
      </c>
      <c r="Z7" s="85" t="str">
        <f t="shared" si="2"/>
        <v>Source ID #?</v>
      </c>
      <c r="AA7" s="573" t="str">
        <f>IF(AND(W7&gt;0,Y7=0),"Test #?",IF(AND(W7=0,Y7=0),"-",Y7))</f>
        <v>-</v>
      </c>
      <c r="AB7" s="728" t="str">
        <f t="shared" si="3"/>
        <v>-</v>
      </c>
    </row>
    <row r="8" spans="1:28" ht="15.6" x14ac:dyDescent="0.3">
      <c r="C8" s="588" t="s">
        <v>176</v>
      </c>
      <c r="D8" s="591">
        <f>'2 Aggregate System'!I15</f>
        <v>0</v>
      </c>
      <c r="E8" s="588">
        <f>IF(AND('2 Aggregate System'!$D$26=0,K23&gt;0),"GRAD. ?",IF(AND('4 Mix Design'!D16&gt;0,D8=0),"SG?",D8))</f>
        <v>0</v>
      </c>
      <c r="F8" s="729">
        <f>IF(AND('2 Aggregate System'!$D$26=0,Q23&gt;0),"GRAD. ?",IF(AND('Optimize Tool'!D9&gt;0,D8=0),"SG?",D8))</f>
        <v>0</v>
      </c>
      <c r="I8" s="77" t="s">
        <v>36</v>
      </c>
      <c r="J8" s="588">
        <v>0</v>
      </c>
      <c r="K8" s="588">
        <v>20</v>
      </c>
      <c r="L8" s="649" t="str">
        <f>IF(AND($K$21=0,$K$22=0,$K$23=0,$K$24=0,$K$25=0),"-",IF(OR($K$41="AIR ?",$F$25="W/CM ERROR",$F$24="CM ERROR"),"CM ERROR",IF($K$46="AGG. ERROR","-",'6 Agg Analysis'!AJ28)))</f>
        <v>-</v>
      </c>
      <c r="M8" s="588" t="str">
        <f t="shared" si="0"/>
        <v>-</v>
      </c>
      <c r="O8" s="732" t="s">
        <v>36</v>
      </c>
      <c r="P8" s="588">
        <v>0</v>
      </c>
      <c r="Q8" s="588">
        <v>20</v>
      </c>
      <c r="R8" s="596" t="str">
        <f>IF(AND($R$21=0,$R$22=0,$R$23=0,$R$24=0,$R$25=0),"-",IF(OR($K$41="AIR ?",$F$25="W/CM ERROR",$F$24="CM ERROR"),"CM ERROR",IF($Q$46="AGG. ERROR","-",'6 Agg Analysis'!AT11)))</f>
        <v>CM ERROR</v>
      </c>
      <c r="S8" s="588" t="str">
        <f t="shared" si="1"/>
        <v>-</v>
      </c>
      <c r="V8" s="85" t="s">
        <v>177</v>
      </c>
      <c r="W8" s="573">
        <f>'2 Aggregate System'!B16</f>
        <v>0</v>
      </c>
      <c r="X8" s="573">
        <f>'2 Aggregate System'!D16</f>
        <v>0</v>
      </c>
      <c r="Y8" s="728">
        <f>'2 Aggregate System'!F16</f>
        <v>0</v>
      </c>
      <c r="Z8" s="85" t="str">
        <f t="shared" si="2"/>
        <v>Source ID #?</v>
      </c>
      <c r="AA8" s="573" t="str">
        <f>IF(AND(W8&gt;0,Y8=0),"Test #?",IF(AND(W8=0,Y8=0),"-",Y8))</f>
        <v>-</v>
      </c>
      <c r="AB8" s="728" t="str">
        <f t="shared" si="3"/>
        <v>-</v>
      </c>
    </row>
    <row r="9" spans="1:28" ht="16.2" thickBot="1" x14ac:dyDescent="0.35">
      <c r="C9" s="588" t="s">
        <v>177</v>
      </c>
      <c r="D9" s="591">
        <f>'2 Aggregate System'!I16</f>
        <v>0</v>
      </c>
      <c r="E9" s="588">
        <f>IF(AND('2 Aggregate System'!$E$26=0,K24&gt;0),"GRAD. ?",IF(AND('4 Mix Design'!D17&gt;0,D9=0),"SG?",D9))</f>
        <v>0</v>
      </c>
      <c r="F9" s="729">
        <f>IF(AND('2 Aggregate System'!$E$26=0,Q24&gt;0),"GRAD. ?",IF(AND('Optimize Tool'!D10&gt;0,D9=0),"SG?",D9))</f>
        <v>0</v>
      </c>
      <c r="I9" s="77" t="s">
        <v>37</v>
      </c>
      <c r="J9" s="588">
        <v>4</v>
      </c>
      <c r="K9" s="588">
        <v>20</v>
      </c>
      <c r="L9" s="649" t="str">
        <f>IF(AND($K$21=0,$K$22=0,$K$23=0,$K$24=0,$K$25=0),"-",IF(OR($K$41="AIR ?",$F$25="W/CM ERROR",$F$24="CM ERROR"),"CM ERROR",IF($K$46="AGG. ERROR","-",'6 Agg Analysis'!AJ29)))</f>
        <v>-</v>
      </c>
      <c r="M9" s="588" t="str">
        <f t="shared" si="0"/>
        <v>-</v>
      </c>
      <c r="O9" s="732" t="s">
        <v>37</v>
      </c>
      <c r="P9" s="588">
        <v>4</v>
      </c>
      <c r="Q9" s="588">
        <v>20</v>
      </c>
      <c r="R9" s="596" t="str">
        <f>IF(AND($R$21=0,$R$22=0,$R$23=0,$R$24=0,$R$25=0),"-",IF(OR($K$41="AIR ?",$F$25="W/CM ERROR",$F$24="CM ERROR"),"CM ERROR",IF($Q$46="AGG. ERROR","-",'6 Agg Analysis'!AT12)))</f>
        <v>CM ERROR</v>
      </c>
      <c r="S9" s="588" t="str">
        <f t="shared" si="1"/>
        <v>-</v>
      </c>
      <c r="V9" s="86" t="s">
        <v>178</v>
      </c>
      <c r="W9" s="87">
        <f>'2 Aggregate System'!B17</f>
        <v>0</v>
      </c>
      <c r="X9" s="87">
        <f>'2 Aggregate System'!D17</f>
        <v>0</v>
      </c>
      <c r="Y9" s="88">
        <f>'2 Aggregate System'!F17</f>
        <v>0</v>
      </c>
      <c r="Z9" s="86" t="str">
        <f t="shared" si="2"/>
        <v>Source ID #?</v>
      </c>
      <c r="AA9" s="87" t="str">
        <f>IF(AND(W9&gt;0,Y9=0),"Test #?",IF(AND(W9=0,Y9=0),"-",Y9))</f>
        <v>-</v>
      </c>
      <c r="AB9" s="88" t="str">
        <f t="shared" si="3"/>
        <v>-</v>
      </c>
    </row>
    <row r="10" spans="1:28" ht="16.2" thickBot="1" x14ac:dyDescent="0.35">
      <c r="C10" s="589" t="s">
        <v>178</v>
      </c>
      <c r="D10" s="593">
        <f>'2 Aggregate System'!I17</f>
        <v>0</v>
      </c>
      <c r="E10" s="589">
        <f>IF(AND('2 Aggregate System'!$F$26=0,K25&gt;0),"GRAD. ?",IF(AND('4 Mix Design'!D18&gt;0,D10=0),"SG?",D10))</f>
        <v>0</v>
      </c>
      <c r="F10" s="594">
        <f>IF(AND('2 Aggregate System'!$F$26=0,Q25&gt;0),"GRAD. ?",IF(AND('Optimize Tool'!D11&gt;0,D10=0),"SG?",D10))</f>
        <v>0</v>
      </c>
      <c r="I10" s="77" t="s">
        <v>38</v>
      </c>
      <c r="J10" s="588">
        <v>4</v>
      </c>
      <c r="K10" s="588">
        <v>20</v>
      </c>
      <c r="L10" s="649" t="str">
        <f>IF(AND($K$21=0,$K$22=0,$K$23=0,$K$24=0,$K$25=0),"-",IF(OR($K$41="AIR ?",$F$25="W/CM ERROR",$F$24="CM ERROR"),"CM ERROR",IF($K$46="AGG. ERROR","-",'6 Agg Analysis'!AJ30)))</f>
        <v>-</v>
      </c>
      <c r="M10" s="588" t="str">
        <f t="shared" si="0"/>
        <v>-</v>
      </c>
      <c r="O10" s="732" t="s">
        <v>38</v>
      </c>
      <c r="P10" s="588">
        <v>4</v>
      </c>
      <c r="Q10" s="588">
        <v>20</v>
      </c>
      <c r="R10" s="596" t="str">
        <f>IF(AND($R$21=0,$R$22=0,$R$23=0,$R$24=0,$R$25=0),"-",IF(OR($K$41="AIR ?",$F$25="W/CM ERROR",$F$24="CM ERROR"),"CM ERROR",IF($Q$46="AGG. ERROR","-",'6 Agg Analysis'!AT13)))</f>
        <v>CM ERROR</v>
      </c>
      <c r="S10" s="588" t="str">
        <f t="shared" si="1"/>
        <v>-</v>
      </c>
    </row>
    <row r="11" spans="1:28" ht="16.2" thickBot="1" x14ac:dyDescent="0.35">
      <c r="C11" s="601" t="s">
        <v>67</v>
      </c>
      <c r="D11" s="590">
        <f>'3 Paste Quality'!E13</f>
        <v>0</v>
      </c>
      <c r="E11" s="130">
        <f>IF($F$30="ERROR: &gt;30%","CM ERROR",IF(AND('4 Mix Design'!D19&gt;0,'7 Calculation Check'!D11=0),"SG?",D11))</f>
        <v>0</v>
      </c>
      <c r="F11" s="131">
        <f>IF($F$30="ERROR: &gt;30%","CM ERROR",IF(AND('4 Mix Design'!E19&gt;0,'7 Calculation Check'!D11=0),"SG?",D11))</f>
        <v>0</v>
      </c>
      <c r="I11" s="77" t="s">
        <v>39</v>
      </c>
      <c r="J11" s="588">
        <v>4</v>
      </c>
      <c r="K11" s="588">
        <v>20</v>
      </c>
      <c r="L11" s="649" t="str">
        <f>IF(AND($K$21=0,$K$22=0,$K$23=0,$K$24=0,$K$25=0),"-",IF(OR($K$41="AIR ?",$F$25="W/CM ERROR",$F$24="CM ERROR"),"CM ERROR",IF($K$46="AGG. ERROR","-",'6 Agg Analysis'!AJ31)))</f>
        <v>-</v>
      </c>
      <c r="M11" s="588" t="str">
        <f t="shared" si="0"/>
        <v>-</v>
      </c>
      <c r="O11" s="732" t="s">
        <v>39</v>
      </c>
      <c r="P11" s="588">
        <v>4</v>
      </c>
      <c r="Q11" s="588">
        <v>20</v>
      </c>
      <c r="R11" s="596" t="str">
        <f>IF(AND($R$21=0,$R$22=0,$R$23=0,$R$24=0,$R$25=0),"-",IF(OR($K$41="AIR ?",$F$25="W/CM ERROR",$F$24="CM ERROR"),"CM ERROR",IF($Q$46="AGG. ERROR","-",'6 Agg Analysis'!AT14)))</f>
        <v>CM ERROR</v>
      </c>
      <c r="S11" s="588" t="str">
        <f t="shared" si="1"/>
        <v>-</v>
      </c>
      <c r="V11" s="1031" t="s">
        <v>317</v>
      </c>
      <c r="W11" s="1324"/>
      <c r="X11" s="1324"/>
      <c r="Y11" s="1324"/>
      <c r="Z11" s="1324"/>
      <c r="AA11" s="1324"/>
      <c r="AB11" s="1032"/>
    </row>
    <row r="12" spans="1:28" ht="16.2" thickBot="1" x14ac:dyDescent="0.35">
      <c r="C12" s="588" t="s">
        <v>283</v>
      </c>
      <c r="D12" s="591">
        <f>'3 Paste Quality'!E14</f>
        <v>0</v>
      </c>
      <c r="E12" s="588" t="str">
        <f>IF(D12=0,"-",IF($F$30="ERROR: &gt;30%","CM ERROR",IF(AND('4 Mix Design'!D20&gt;0,'7 Calculation Check'!D12=0),"SG?",D12)))</f>
        <v>-</v>
      </c>
      <c r="F12" s="729">
        <f>IF($F$30="ERROR: &gt;30%","CM ERROR",IF(AND('4 Mix Design'!E20&gt;0,'7 Calculation Check'!D12=0),"SG?",D12))</f>
        <v>0</v>
      </c>
      <c r="I12" s="77" t="s">
        <v>40</v>
      </c>
      <c r="J12" s="588">
        <v>0</v>
      </c>
      <c r="K12" s="588">
        <v>12</v>
      </c>
      <c r="L12" s="649" t="str">
        <f>IF(AND($K$21=0,$K$22=0,$K$23=0,$K$24=0,$K$25=0),"-",IF(OR($K$41="AIR ?",$F$25="W/CM ERROR",$F$24="CM ERROR"),"CM ERROR",IF($K$46="AGG. ERROR","-",'6 Agg Analysis'!AJ32)))</f>
        <v>-</v>
      </c>
      <c r="M12" s="588" t="str">
        <f t="shared" si="0"/>
        <v>-</v>
      </c>
      <c r="O12" s="732" t="s">
        <v>40</v>
      </c>
      <c r="P12" s="588">
        <v>0</v>
      </c>
      <c r="Q12" s="588">
        <v>12</v>
      </c>
      <c r="R12" s="596" t="str">
        <f>IF(AND($R$21=0,$R$22=0,$R$23=0,$R$24=0,$R$25=0),"-",IF(OR($K$41="AIR ?",$F$25="W/CM ERROR",$F$24="CM ERROR"),"CM ERROR",IF($Q$46="AGG. ERROR","-",'6 Agg Analysis'!AT15)))</f>
        <v>CM ERROR</v>
      </c>
      <c r="S12" s="588" t="str">
        <f t="shared" si="1"/>
        <v>-</v>
      </c>
      <c r="V12" s="1031" t="s">
        <v>315</v>
      </c>
      <c r="W12" s="1324"/>
      <c r="X12" s="1324"/>
      <c r="Y12" s="1032"/>
      <c r="Z12" s="934" t="s">
        <v>278</v>
      </c>
      <c r="AA12" s="1324"/>
      <c r="AB12" s="1032"/>
    </row>
    <row r="13" spans="1:28" ht="15.6" x14ac:dyDescent="0.3">
      <c r="C13" s="588" t="s">
        <v>72</v>
      </c>
      <c r="D13" s="591">
        <f>'3 Paste Quality'!E15</f>
        <v>0</v>
      </c>
      <c r="E13" s="588" t="str">
        <f>IF(D13=0,"-",IF($F$30="ERROR: &gt;30%","CM ERROR",IF(AND('4 Mix Design'!D21&gt;0,'7 Calculation Check'!D13=0),"SG?",D13)))</f>
        <v>-</v>
      </c>
      <c r="F13" s="729">
        <f>IF($F$30="ERROR: &gt;30%","CM ERROR",IF(AND('4 Mix Design'!E21&gt;0,'7 Calculation Check'!D13=0),"SG?",D13))</f>
        <v>0</v>
      </c>
      <c r="I13" s="77" t="s">
        <v>41</v>
      </c>
      <c r="J13" s="588">
        <v>0</v>
      </c>
      <c r="K13" s="588">
        <v>12</v>
      </c>
      <c r="L13" s="649" t="str">
        <f>IF(AND($K$21=0,$K$22=0,$K$23=0,$K$24=0,$K$25=0),"-",IF(OR($K$41="AIR ?",$F$25="W/CM ERROR",$F$24="CM ERROR"),"CM ERROR",IF($K$46="AGG. ERROR","-",'6 Agg Analysis'!AJ33)))</f>
        <v>-</v>
      </c>
      <c r="M13" s="588" t="str">
        <f t="shared" si="0"/>
        <v>-</v>
      </c>
      <c r="O13" s="732" t="s">
        <v>41</v>
      </c>
      <c r="P13" s="588">
        <v>0</v>
      </c>
      <c r="Q13" s="588">
        <v>12</v>
      </c>
      <c r="R13" s="596" t="str">
        <f>IF(AND($R$21=0,$R$22=0,$R$23=0,$R$24=0,$R$25=0),"-",IF(OR($K$41="AIR ?",$F$25="W/CM ERROR",$F$24="CM ERROR"),"CM ERROR",IF($Q$46="AGG. ERROR","-",'6 Agg Analysis'!AT16)))</f>
        <v>CM ERROR</v>
      </c>
      <c r="S13" s="588" t="str">
        <f t="shared" si="1"/>
        <v>-</v>
      </c>
      <c r="V13" s="725" t="s">
        <v>23</v>
      </c>
      <c r="W13" s="726" t="s">
        <v>63</v>
      </c>
      <c r="X13" s="726" t="s">
        <v>64</v>
      </c>
      <c r="Y13" s="727" t="s">
        <v>318</v>
      </c>
      <c r="Z13" s="94" t="s">
        <v>63</v>
      </c>
      <c r="AA13" s="726" t="s">
        <v>64</v>
      </c>
      <c r="AB13" s="727" t="s">
        <v>318</v>
      </c>
    </row>
    <row r="14" spans="1:28" ht="15.6" x14ac:dyDescent="0.3">
      <c r="C14" s="588" t="s">
        <v>206</v>
      </c>
      <c r="D14" s="591">
        <f>'3 Paste Quality'!E16</f>
        <v>0</v>
      </c>
      <c r="E14" s="588" t="str">
        <f>IF(D14=0,"-",IF($F$30="ERROR: &gt;30%","CM ERROR",IF(AND('4 Mix Design'!D22&gt;0,'7 Calculation Check'!D14=0),"SG?",D14)))</f>
        <v>-</v>
      </c>
      <c r="F14" s="729">
        <f>IF($F$30="ERROR: &gt;30%","CM ERROR",IF(AND('4 Mix Design'!E22&gt;0,'7 Calculation Check'!D14=0),"SG?",D14))</f>
        <v>0</v>
      </c>
      <c r="I14" s="77" t="s">
        <v>42</v>
      </c>
      <c r="J14" s="588">
        <v>4</v>
      </c>
      <c r="K14" s="588">
        <v>20</v>
      </c>
      <c r="L14" s="649" t="str">
        <f>IF(AND($K$21=0,$K$22=0,$K$23=0,$K$24=0,$K$25=0),"-",IF(OR($K$41="AIR ?",$F$25="W/CM ERROR",$F$24="CM ERROR"),"CM ERROR",IF($K$46="AGG. ERROR","-",'6 Agg Analysis'!AJ34)))</f>
        <v>-</v>
      </c>
      <c r="M14" s="588" t="str">
        <f t="shared" si="0"/>
        <v>-</v>
      </c>
      <c r="O14" s="732" t="s">
        <v>42</v>
      </c>
      <c r="P14" s="588">
        <v>4</v>
      </c>
      <c r="Q14" s="588">
        <v>20</v>
      </c>
      <c r="R14" s="596" t="str">
        <f>IF(AND($R$21=0,$R$22=0,$R$23=0,$R$24=0,$R$25=0),"-",IF(OR($K$41="AIR ?",$F$25="W/CM ERROR",$F$24="CM ERROR"),"CM ERROR",IF($Q$46="AGG. ERROR","-",'6 Agg Analysis'!AT17)))</f>
        <v>CM ERROR</v>
      </c>
      <c r="S14" s="588" t="str">
        <f t="shared" si="1"/>
        <v>-</v>
      </c>
      <c r="V14" s="85" t="s">
        <v>67</v>
      </c>
      <c r="W14" s="573">
        <f>'3 Paste Quality'!B13</f>
        <v>0</v>
      </c>
      <c r="X14" s="573">
        <f>'3 Paste Quality'!C13</f>
        <v>0</v>
      </c>
      <c r="Y14" s="728">
        <f>'3 Paste Quality'!D13</f>
        <v>0</v>
      </c>
      <c r="Z14" s="95" t="str">
        <f>IF(AND(W14=0,X14=0,Y14=0),"Cement?",IF(AND(W14=0,X14&gt;0,Y14&gt;0),"Manufacturer?",IF(AND(W14=0,X14=0,Y14&gt;0),"Manufacturer?",IF(AND(W14=0,X14&gt;0,Y14=0),"Manufacturer?",W14))))</f>
        <v>Cement?</v>
      </c>
      <c r="AA14" s="573" t="str">
        <f>IF(AND(W14=0,X14=0,Y14=0),"Cement?",IF(AND(W14&gt;0,X14=0,Y14&gt;0),"Source?",IF(AND(W14&gt;0,X14=0,Y14=0),"Source?",IF(AND(W14=0,X14=0,Y14&gt;0),"Source?",X14))))</f>
        <v>Cement?</v>
      </c>
      <c r="AB14" s="728" t="str">
        <f>IF(AND(W14=0,X14=0,Y14=0),"Cement?",IF(AND(W14&gt;0,X14&gt;0,Y14=0),"Classification?",IF(AND(W14&gt;0,X14=0,Y14=0),"Classification?",IF(AND(W14=0,X14&gt;0,Y14=0),"Classification?",Y14))))</f>
        <v>Cement?</v>
      </c>
    </row>
    <row r="15" spans="1:28" ht="16.2" thickBot="1" x14ac:dyDescent="0.35">
      <c r="C15" s="589" t="s">
        <v>208</v>
      </c>
      <c r="D15" s="593">
        <f>'3 Paste Quality'!E17</f>
        <v>0</v>
      </c>
      <c r="E15" s="589" t="str">
        <f>IF(D15=0,"-",IF($F$30="ERROR: &gt;30%","CM ERROR",IF(AND('4 Mix Design'!D23&gt;0,'7 Calculation Check'!D15=0),"SG?",D15)))</f>
        <v>-</v>
      </c>
      <c r="F15" s="594">
        <f>IF($F$30="ERROR: &gt;30%","CM ERROR",IF(AND('4 Mix Design'!E23&gt;0,'7 Calculation Check'!D15=0),"SG?",D15))</f>
        <v>0</v>
      </c>
      <c r="I15" s="77" t="s">
        <v>43</v>
      </c>
      <c r="J15" s="588">
        <v>4</v>
      </c>
      <c r="K15" s="588">
        <v>20</v>
      </c>
      <c r="L15" s="649" t="str">
        <f>IF(AND($K$21=0,$K$22=0,$K$23=0,$K$24=0,$K$25=0),"-",IF(OR($K$41="AIR ?",$F$25="W/CM ERROR",$F$24="CM ERROR"),"CM ERROR",IF($K$46="AGG. ERROR","-",'6 Agg Analysis'!AJ35)))</f>
        <v>-</v>
      </c>
      <c r="M15" s="588" t="str">
        <f t="shared" si="0"/>
        <v>-</v>
      </c>
      <c r="O15" s="732" t="s">
        <v>43</v>
      </c>
      <c r="P15" s="588">
        <v>4</v>
      </c>
      <c r="Q15" s="588">
        <v>20</v>
      </c>
      <c r="R15" s="596" t="str">
        <f>IF(AND($R$21=0,$R$22=0,$R$23=0,$R$24=0,$R$25=0),"-",IF(OR($K$41="AIR ?",$F$25="W/CM ERROR",$F$24="CM ERROR"),"CM ERROR",IF($Q$46="AGG. ERROR","-",'6 Agg Analysis'!AT18)))</f>
        <v>CM ERROR</v>
      </c>
      <c r="S15" s="588" t="str">
        <f t="shared" si="1"/>
        <v>-</v>
      </c>
      <c r="V15" s="85" t="s">
        <v>68</v>
      </c>
      <c r="W15" s="573">
        <f>'3 Paste Quality'!B14</f>
        <v>0</v>
      </c>
      <c r="X15" s="573">
        <f>'3 Paste Quality'!C14</f>
        <v>0</v>
      </c>
      <c r="Y15" s="728">
        <f>'3 Paste Quality'!D14</f>
        <v>0</v>
      </c>
      <c r="Z15" s="95" t="str">
        <f>IF(AND(W15=0,X15=0,Y15=0),"-",IF(AND(W15=0,X15&gt;0,Y15&gt;0),"Manufacturer?",IF(AND(W15=0,X15=0,Y15&gt;0),"Manufacturer?",IF(AND(W15=0,X15&gt;0,Y15=0),"Manufacturer?",W15))))</f>
        <v>-</v>
      </c>
      <c r="AA15" s="573" t="str">
        <f>IF(AND(W15=0,X15=0,Y15=0),"-",IF(AND(W15&gt;0,X15=0,Y15&gt;0),"Source?",IF(AND(W15&gt;0,X15=0,Y15=0),"Source?",IF(AND(W15=0,X15=0,Y15&gt;0),"Source?",X15))))</f>
        <v>-</v>
      </c>
      <c r="AB15" s="728" t="str">
        <f>IF(AND(W15=0,X15=0,Y15=0),"-",IF(AND(W15&gt;0,X15&gt;0,Y15=0),"Classification?",IF(AND(W15&gt;0,X15=0,Y15=0),"Classification?",IF(AND(W15=0,X15&gt;0,Y15=0),"Classification?",Y15))))</f>
        <v>-</v>
      </c>
    </row>
    <row r="16" spans="1:28" ht="16.2" thickBot="1" x14ac:dyDescent="0.35">
      <c r="I16" s="77" t="s">
        <v>44</v>
      </c>
      <c r="J16" s="588">
        <v>0</v>
      </c>
      <c r="K16" s="588">
        <v>10</v>
      </c>
      <c r="L16" s="649" t="str">
        <f>IF(AND($K$21=0,$K$22=0,$K$23=0,$K$24=0,$K$25=0),"-",IF(OR($K$41="AIR ?",$F$25="W/CM ERROR",$F$24="CM ERROR"),"CM ERROR",IF($K$46="AGG. ERROR","-",'6 Agg Analysis'!AJ36)))</f>
        <v>-</v>
      </c>
      <c r="M16" s="588" t="str">
        <f t="shared" si="0"/>
        <v>-</v>
      </c>
      <c r="O16" s="732" t="s">
        <v>44</v>
      </c>
      <c r="P16" s="588">
        <v>0</v>
      </c>
      <c r="Q16" s="588">
        <v>10</v>
      </c>
      <c r="R16" s="596" t="str">
        <f>IF(AND($R$21=0,$R$22=0,$R$23=0,$R$24=0,$R$25=0),"-",IF(OR($K$41="AIR ?",$F$25="W/CM ERROR",$F$24="CM ERROR"),"CM ERROR",IF($Q$46="AGG. ERROR","-",'6 Agg Analysis'!AT19)))</f>
        <v>CM ERROR</v>
      </c>
      <c r="S16" s="588" t="str">
        <f t="shared" si="1"/>
        <v>-</v>
      </c>
      <c r="V16" s="85" t="s">
        <v>72</v>
      </c>
      <c r="W16" s="573">
        <f>'3 Paste Quality'!B15</f>
        <v>0</v>
      </c>
      <c r="X16" s="573">
        <f>'3 Paste Quality'!C15</f>
        <v>0</v>
      </c>
      <c r="Y16" s="728">
        <f>'3 Paste Quality'!D15</f>
        <v>0</v>
      </c>
      <c r="Z16" s="95" t="str">
        <f>IF(AND(W16=0,X16=0,Y16=0),"-",IF(AND(W16=0,X16&gt;0,Y16&gt;0),"Manufacturer?",IF(AND(W16=0,X16=0,Y16&gt;0),"Manufacturer?",IF(AND(W16=0,X16&gt;0,Y16=0),"Manufacturer?",W16))))</f>
        <v>-</v>
      </c>
      <c r="AA16" s="573" t="str">
        <f>IF(AND(W16=0,X16=0,Y16=0),"-",IF(AND(W16&gt;0,X16=0,Y16&gt;0),"Source?",IF(AND(W16&gt;0,X16=0,Y16=0),"Source?",IF(AND(W16=0,X16=0,Y16&gt;0),"Source?",X16))))</f>
        <v>-</v>
      </c>
      <c r="AB16" s="728" t="str">
        <f>IF(AND(W16=0,X16=0,Y16=0),"-",IF(AND(W16&gt;0,X16&gt;0,Y16=0),"Classification?",IF(AND(W16&gt;0,X16=0,Y16=0),"Classification?",IF(AND(W16=0,X16&gt;0,Y16=0),"Classification?",Y16))))</f>
        <v>-</v>
      </c>
    </row>
    <row r="17" spans="3:28" ht="16.2" thickBot="1" x14ac:dyDescent="0.35">
      <c r="C17" s="1033" t="s">
        <v>265</v>
      </c>
      <c r="D17" s="1389"/>
      <c r="E17" s="1390"/>
      <c r="I17" s="78" t="s">
        <v>45</v>
      </c>
      <c r="J17" s="589">
        <v>0</v>
      </c>
      <c r="K17" s="589">
        <v>5</v>
      </c>
      <c r="L17" s="610" t="str">
        <f>IF(AND($K$21=0,$K$22=0,$K$23=0,$K$24=0,$K$25=0),"-",IF(OR($K$41="AIR ?",$F$25="W/CM ERROR",$F$24="CM ERROR"),"CM ERROR",IF($K$46="AGG. ERROR","-",'6 Agg Analysis'!AJ37)))</f>
        <v>-</v>
      </c>
      <c r="M17" s="589" t="str">
        <f t="shared" si="0"/>
        <v>-</v>
      </c>
      <c r="O17" s="753" t="s">
        <v>45</v>
      </c>
      <c r="P17" s="589">
        <v>0</v>
      </c>
      <c r="Q17" s="589">
        <v>5</v>
      </c>
      <c r="R17" s="595" t="str">
        <f>IF(AND($R$21=0,$R$22=0,$R$23=0,$R$24=0,$R$25=0),"-",IF(OR($K$41="AIR ?",$F$25="W/CM ERROR",$F$24="CM ERROR"),"CM ERROR",IF($Q$46="AGG. ERROR","-",'6 Agg Analysis'!AT20)))</f>
        <v>CM ERROR</v>
      </c>
      <c r="S17" s="589" t="str">
        <f t="shared" si="1"/>
        <v>-</v>
      </c>
      <c r="V17" s="85" t="s">
        <v>206</v>
      </c>
      <c r="W17" s="573">
        <f>'3 Paste Quality'!B16</f>
        <v>0</v>
      </c>
      <c r="X17" s="573">
        <f>'3 Paste Quality'!C16</f>
        <v>0</v>
      </c>
      <c r="Y17" s="728">
        <f>'3 Paste Quality'!D16</f>
        <v>0</v>
      </c>
      <c r="Z17" s="95" t="str">
        <f>IF(AND(W17=0,X17=0,Y17=0),"-",IF(AND(W17=0,X17&gt;0,Y17&gt;0),"Manufacturer?",IF(AND(W17=0,X17=0,Y17&gt;0),"Manufacturer?",IF(AND(W17=0,X17&gt;0,Y17=0),"Manufacturer?",W17))))</f>
        <v>-</v>
      </c>
      <c r="AA17" s="573" t="str">
        <f>IF(AND(W17=0,X17=0,Y17=0),"-",IF(AND(W17&gt;0,X17=0,Y17&gt;0),"Source?",IF(AND(W17&gt;0,X17=0,Y17=0),"Source?",IF(AND(W17=0,X17=0,Y17&gt;0),"Source?",X17))))</f>
        <v>-</v>
      </c>
      <c r="AB17" s="728" t="str">
        <f>IF(AND(W17=0,X17=0,Y17=0),"-",IF(AND(W17&gt;0,X17&gt;0,Y17=0),"Classification?",IF(AND(W17&gt;0,X17=0,Y17=0),"Classification?",IF(AND(W17=0,X17&gt;0,Y17=0),"Classification?",Y17))))</f>
        <v>-</v>
      </c>
    </row>
    <row r="18" spans="3:28" ht="16.2" thickBot="1" x14ac:dyDescent="0.35">
      <c r="C18" s="130" t="s">
        <v>163</v>
      </c>
      <c r="D18" s="130" t="s">
        <v>315</v>
      </c>
      <c r="E18" s="130" t="s">
        <v>278</v>
      </c>
      <c r="I18" s="79"/>
      <c r="V18" s="86" t="s">
        <v>208</v>
      </c>
      <c r="W18" s="87">
        <f>'3 Paste Quality'!B17</f>
        <v>0</v>
      </c>
      <c r="X18" s="87">
        <f>'3 Paste Quality'!C17</f>
        <v>0</v>
      </c>
      <c r="Y18" s="88">
        <f>'3 Paste Quality'!D17</f>
        <v>0</v>
      </c>
      <c r="Z18" s="96" t="str">
        <f>IF(AND(W18=0,X18=0,Y18=0),"-",IF(AND(W18=0,X18&gt;0,Y18&gt;0),"Manufacturer?",IF(AND(W18=0,X18=0,Y18&gt;0),"Manufacturer?",IF(AND(W18=0,X18&gt;0,Y18=0),"Manufacturer?",W18))))</f>
        <v>-</v>
      </c>
      <c r="AA18" s="87" t="str">
        <f>IF(AND(W18=0,X18=0,Y18=0),"-",IF(AND(W18&gt;0,X18=0,Y18&gt;0),"Source?",IF(AND(W18&gt;0,X18=0,Y18=0),"Source?",IF(AND(W18=0,X18=0,Y18&gt;0),"Source?",X18))))</f>
        <v>-</v>
      </c>
      <c r="AB18" s="88" t="str">
        <f>IF(AND(W18=0,X18=0,Y18=0),"-",IF(AND(W18&gt;0,X18&gt;0,Y18=0),"Classification?",IF(AND(W18&gt;0,X18=0,Y18=0),"Classification?",IF(AND(W18=0,X18&gt;0,Y18=0),"Classification?",Y18))))</f>
        <v>-</v>
      </c>
    </row>
    <row r="19" spans="3:28" ht="16.2" thickBot="1" x14ac:dyDescent="0.35">
      <c r="C19" s="589" t="s">
        <v>266</v>
      </c>
      <c r="D19" s="589">
        <f>'3 Paste Quality'!C25</f>
        <v>0</v>
      </c>
      <c r="E19" s="589" t="str">
        <f>_xlfn.CONCAT(D19," - ","OAG")</f>
        <v>0 - OAG</v>
      </c>
      <c r="I19" s="1393" t="s">
        <v>430</v>
      </c>
      <c r="J19" s="1394"/>
      <c r="K19" s="1394"/>
      <c r="L19" s="1394"/>
      <c r="M19" s="1395"/>
      <c r="N19" s="93"/>
      <c r="O19" s="1396" t="s">
        <v>429</v>
      </c>
      <c r="P19" s="1397"/>
      <c r="Q19" s="1397"/>
      <c r="R19" s="1397"/>
      <c r="S19" s="1397"/>
      <c r="T19" s="1398"/>
    </row>
    <row r="20" spans="3:28" ht="15" thickBot="1" x14ac:dyDescent="0.35">
      <c r="C20" s="117" t="s">
        <v>456</v>
      </c>
      <c r="D20" s="730">
        <f>'3 Paste Quality'!C26</f>
        <v>0</v>
      </c>
      <c r="I20" s="82" t="s">
        <v>79</v>
      </c>
      <c r="J20" s="83" t="s">
        <v>182</v>
      </c>
      <c r="K20" s="83" t="s">
        <v>181</v>
      </c>
      <c r="L20" s="83" t="s">
        <v>282</v>
      </c>
      <c r="M20" s="84" t="s">
        <v>278</v>
      </c>
      <c r="O20" s="82" t="s">
        <v>79</v>
      </c>
      <c r="P20" s="83" t="s">
        <v>182</v>
      </c>
      <c r="Q20" s="83" t="s">
        <v>406</v>
      </c>
      <c r="R20" s="83" t="s">
        <v>181</v>
      </c>
      <c r="S20" s="83" t="s">
        <v>282</v>
      </c>
      <c r="T20" s="84" t="s">
        <v>278</v>
      </c>
      <c r="V20" s="1033" t="s">
        <v>319</v>
      </c>
      <c r="W20" s="1389"/>
      <c r="X20" s="1389"/>
      <c r="Y20" s="1389"/>
      <c r="Z20" s="1389"/>
      <c r="AA20" s="1390"/>
    </row>
    <row r="21" spans="3:28" ht="15" thickBot="1" x14ac:dyDescent="0.35">
      <c r="I21" s="85" t="s">
        <v>158</v>
      </c>
      <c r="J21" s="573" t="str">
        <f>IF(E6=0,"-",E6)</f>
        <v>-</v>
      </c>
      <c r="K21" s="75">
        <f>'4 Mix Design'!D14</f>
        <v>0</v>
      </c>
      <c r="L21" s="573" t="str">
        <f>IFERROR(K21/(62.4*'7 Calculation Check'!J21),"-")</f>
        <v>-</v>
      </c>
      <c r="M21" s="728" t="str">
        <f>IF(L21=0,"-",IF(J21="SG?","AGG. ERROR",L21))</f>
        <v>-</v>
      </c>
      <c r="O21" s="85" t="s">
        <v>158</v>
      </c>
      <c r="P21" s="573" t="str">
        <f>IF(F6=0,"-",F6)</f>
        <v>-</v>
      </c>
      <c r="Q21" s="81">
        <f>'Optimize Tool'!D7</f>
        <v>0</v>
      </c>
      <c r="R21" s="573" t="str">
        <f>IF(Q21=0,"-",(Q21/100)*'Optimize Tool'!$D$12)</f>
        <v>-</v>
      </c>
      <c r="S21" s="573">
        <f>IFERROR(R21/(62.4*'7 Calculation Check'!P21),0)</f>
        <v>0</v>
      </c>
      <c r="T21" s="728" t="str">
        <f>IF(S21=0,"-",IF(P21="SG?","AGG. ERROR",S21))</f>
        <v>-</v>
      </c>
      <c r="V21" s="1033" t="s">
        <v>315</v>
      </c>
      <c r="W21" s="1389"/>
      <c r="X21" s="1390"/>
      <c r="Y21" s="1033" t="s">
        <v>278</v>
      </c>
      <c r="Z21" s="1389"/>
      <c r="AA21" s="1390"/>
    </row>
    <row r="22" spans="3:28" ht="15.6" customHeight="1" thickBot="1" x14ac:dyDescent="0.35">
      <c r="C22" s="1033" t="s">
        <v>409</v>
      </c>
      <c r="D22" s="1389"/>
      <c r="E22" s="1389"/>
      <c r="F22" s="1390"/>
      <c r="I22" s="85" t="s">
        <v>159</v>
      </c>
      <c r="J22" s="573" t="str">
        <f t="shared" ref="J22:J25" si="4">IF(E7=0,"-",E7)</f>
        <v>-</v>
      </c>
      <c r="K22" s="75">
        <f>'4 Mix Design'!D15</f>
        <v>0</v>
      </c>
      <c r="L22" s="573">
        <f>IFERROR(K22/(62.4*'7 Calculation Check'!J22),0)</f>
        <v>0</v>
      </c>
      <c r="M22" s="728" t="str">
        <f t="shared" ref="M22:M25" si="5">IF(L22=0,"-",IF(J22="SG?","AGG. ERROR",L22))</f>
        <v>-</v>
      </c>
      <c r="O22" s="85" t="s">
        <v>159</v>
      </c>
      <c r="P22" s="573" t="str">
        <f t="shared" ref="P22:P25" si="6">IF(F7=0,"-",F7)</f>
        <v>-</v>
      </c>
      <c r="Q22" s="81">
        <f>'Optimize Tool'!D8</f>
        <v>0</v>
      </c>
      <c r="R22" s="573" t="str">
        <f>IF(Q22=0,"-",(Q22/100)*'Optimize Tool'!$D$12)</f>
        <v>-</v>
      </c>
      <c r="S22" s="573">
        <f>IFERROR(R22/(62.4*'7 Calculation Check'!P22),0)</f>
        <v>0</v>
      </c>
      <c r="T22" s="728" t="str">
        <f t="shared" ref="T22:T25" si="7">IF(S22=0,"-",IF(P22="SG?","AGG. ERROR",S22))</f>
        <v>-</v>
      </c>
      <c r="V22" s="725" t="s">
        <v>445</v>
      </c>
      <c r="W22" s="726" t="s">
        <v>170</v>
      </c>
      <c r="X22" s="727" t="s">
        <v>171</v>
      </c>
      <c r="Y22" s="725" t="s">
        <v>445</v>
      </c>
      <c r="Z22" s="726" t="s">
        <v>170</v>
      </c>
      <c r="AA22" s="727" t="s">
        <v>171</v>
      </c>
    </row>
    <row r="23" spans="3:28" ht="15" thickBot="1" x14ac:dyDescent="0.35">
      <c r="C23" s="130" t="s">
        <v>79</v>
      </c>
      <c r="D23" s="607" t="s">
        <v>47</v>
      </c>
      <c r="E23" s="130" t="s">
        <v>315</v>
      </c>
      <c r="F23" s="130" t="s">
        <v>278</v>
      </c>
      <c r="I23" s="85" t="s">
        <v>176</v>
      </c>
      <c r="J23" s="573" t="str">
        <f t="shared" si="4"/>
        <v>-</v>
      </c>
      <c r="K23" s="75">
        <f>'4 Mix Design'!D16</f>
        <v>0</v>
      </c>
      <c r="L23" s="573">
        <f>IFERROR(K23/(62.4*'7 Calculation Check'!J23),0)</f>
        <v>0</v>
      </c>
      <c r="M23" s="728" t="str">
        <f t="shared" si="5"/>
        <v>-</v>
      </c>
      <c r="O23" s="85" t="s">
        <v>176</v>
      </c>
      <c r="P23" s="573" t="str">
        <f t="shared" si="6"/>
        <v>-</v>
      </c>
      <c r="Q23" s="81">
        <f>'Optimize Tool'!D9</f>
        <v>0</v>
      </c>
      <c r="R23" s="573" t="str">
        <f>IF(Q23=0,"-",(Q23/100)*'Optimize Tool'!$D$12)</f>
        <v>-</v>
      </c>
      <c r="S23" s="573">
        <f>IFERROR(R23/(62.4*'7 Calculation Check'!P23),0)</f>
        <v>0</v>
      </c>
      <c r="T23" s="728" t="str">
        <f t="shared" si="7"/>
        <v>-</v>
      </c>
      <c r="V23" s="86" t="str">
        <f>'3 Paste Quality'!C46</f>
        <v>Municipal</v>
      </c>
      <c r="W23" s="87">
        <f>'3 Paste Quality'!D46</f>
        <v>0</v>
      </c>
      <c r="X23" s="88">
        <f>'3 Paste Quality'!F46</f>
        <v>0</v>
      </c>
      <c r="Y23" s="86" t="str">
        <f>IF(V23=0,"Source Type?",V23)</f>
        <v>Municipal</v>
      </c>
      <c r="Z23" s="87" t="str">
        <f>IF(Y23="Source Type?","Source Type?",IF(W23=0,"Source Name?",W23))</f>
        <v>Source Name?</v>
      </c>
      <c r="AA23" s="88" t="str">
        <f>IF(Y23="Municipal","Not Applicable",IF(AND(X23=0,V23&lt;&gt;"Municipal"),"Test Number?",X23))</f>
        <v>Not Applicable</v>
      </c>
    </row>
    <row r="24" spans="3:28" ht="15" thickBot="1" x14ac:dyDescent="0.35">
      <c r="C24" s="588" t="s">
        <v>267</v>
      </c>
      <c r="D24" s="608">
        <f>'3 Paste Quality'!C27</f>
        <v>500</v>
      </c>
      <c r="E24" s="611">
        <f>'3 Paste Quality'!B31</f>
        <v>0</v>
      </c>
      <c r="F24" s="588" t="str" cm="1">
        <f t="array" ref="F24">IF(OR(M27:M30="CM ERROR",D36&gt;$F$29,'3 Paste Quality'!$B$31&lt;500,'3 Paste Quality'!$B$31="",'3 Paste Quality'!$B$31=0),"CM ERROR",E24)</f>
        <v>CM ERROR</v>
      </c>
      <c r="G24" s="613"/>
      <c r="I24" s="85" t="s">
        <v>177</v>
      </c>
      <c r="J24" s="573" t="str">
        <f t="shared" si="4"/>
        <v>-</v>
      </c>
      <c r="K24" s="75">
        <f>'4 Mix Design'!D17</f>
        <v>0</v>
      </c>
      <c r="L24" s="573">
        <f>IFERROR(K24/(62.4*'7 Calculation Check'!J24),0)</f>
        <v>0</v>
      </c>
      <c r="M24" s="728" t="str">
        <f t="shared" si="5"/>
        <v>-</v>
      </c>
      <c r="O24" s="85" t="s">
        <v>177</v>
      </c>
      <c r="P24" s="573" t="str">
        <f t="shared" si="6"/>
        <v>-</v>
      </c>
      <c r="Q24" s="81">
        <f>'Optimize Tool'!D10</f>
        <v>0</v>
      </c>
      <c r="R24" s="573" t="str">
        <f>IF(Q24=0,"-",(Q24/100)*'Optimize Tool'!$D$12)</f>
        <v>-</v>
      </c>
      <c r="S24" s="573">
        <f>IFERROR(R24/(62.4*'7 Calculation Check'!P24),0)</f>
        <v>0</v>
      </c>
      <c r="T24" s="728" t="str">
        <f t="shared" si="7"/>
        <v>-</v>
      </c>
    </row>
    <row r="25" spans="3:28" ht="15" thickBot="1" x14ac:dyDescent="0.35">
      <c r="C25" s="731" t="s">
        <v>70</v>
      </c>
      <c r="D25" s="609" t="str">
        <f>'3 Paste Quality'!$C$28</f>
        <v>GRADE?</v>
      </c>
      <c r="E25" s="612">
        <f>'3 Paste Quality'!B32</f>
        <v>0</v>
      </c>
      <c r="F25" s="612" t="str">
        <f>IF(OR('3 Paste Quality'!B32=0,'3 Paste Quality'!B32="",'3 Paste Quality'!B32&gt;D25),"W/CM ERROR",E25)</f>
        <v>W/CM ERROR</v>
      </c>
      <c r="I25" s="579" t="s">
        <v>178</v>
      </c>
      <c r="J25" s="573" t="str">
        <f t="shared" si="4"/>
        <v>-</v>
      </c>
      <c r="K25" s="605">
        <f>'4 Mix Design'!D18</f>
        <v>0</v>
      </c>
      <c r="L25" s="580">
        <f>IFERROR(K25/(62.4*'7 Calculation Check'!J25),0)</f>
        <v>0</v>
      </c>
      <c r="M25" s="582" t="str">
        <f t="shared" si="5"/>
        <v>-</v>
      </c>
      <c r="O25" s="579" t="s">
        <v>178</v>
      </c>
      <c r="P25" s="573" t="str">
        <f t="shared" si="6"/>
        <v>-</v>
      </c>
      <c r="Q25" s="581">
        <f>'Optimize Tool'!D11</f>
        <v>0</v>
      </c>
      <c r="R25" s="580" t="str">
        <f>IF(Q25=0,"-",(Q25/100)*'Optimize Tool'!$D$12)</f>
        <v>-</v>
      </c>
      <c r="S25" s="580">
        <f>IFERROR(R25/(62.4*'7 Calculation Check'!P25),0)</f>
        <v>0</v>
      </c>
      <c r="T25" s="582" t="str">
        <f t="shared" si="7"/>
        <v>-</v>
      </c>
      <c r="V25" s="1031" t="s">
        <v>322</v>
      </c>
      <c r="W25" s="1324"/>
      <c r="X25" s="1324"/>
      <c r="Y25" s="1324"/>
      <c r="Z25" s="1324"/>
      <c r="AA25" s="1324"/>
      <c r="AB25" s="1032"/>
    </row>
    <row r="26" spans="3:28" ht="15" thickBot="1" x14ac:dyDescent="0.35">
      <c r="C26" s="1033" t="s">
        <v>268</v>
      </c>
      <c r="D26" s="1390"/>
      <c r="E26" s="610">
        <f>'3 Paste Quality'!B33</f>
        <v>0</v>
      </c>
      <c r="I26" s="82" t="s">
        <v>67</v>
      </c>
      <c r="J26" s="83">
        <f>'3 Paste Quality'!E13</f>
        <v>0</v>
      </c>
      <c r="K26" s="83">
        <f>'3 Paste Quality'!$B$31-(D36/100)*'3 Paste Quality'!$B$31</f>
        <v>0</v>
      </c>
      <c r="L26" s="89">
        <f>IF(OR(J26=0,J26="-",K26=0,K26="-"),0,K26/(62.4*J26))</f>
        <v>0</v>
      </c>
      <c r="M26" s="84" t="str">
        <f>IF(L26=0,"-",IF('3 Paste Quality'!$B$31&lt;'7 Calculation Check'!$D$24,"CM ERROR",IF($F$30="ERROR: &gt;30%","ERROR: &gt;30%",L26)))</f>
        <v>-</v>
      </c>
      <c r="O26" s="82" t="s">
        <v>67</v>
      </c>
      <c r="P26" s="577" t="str">
        <f>IF(F11=0,"-",F11)</f>
        <v>-</v>
      </c>
      <c r="Q26" s="583"/>
      <c r="R26" s="83">
        <f>'3 Paste Quality'!$B$31-(D36/100)*'3 Paste Quality'!$B$31</f>
        <v>0</v>
      </c>
      <c r="S26" s="89">
        <f>IF(OR(P26=0,P26="",R26=0,R26=""),0,R26/(62.4*P26))</f>
        <v>0</v>
      </c>
      <c r="T26" s="84" t="str">
        <f>IF(S26=0,"-",IF('3 Paste Quality'!$B$31&lt;'7 Calculation Check'!$D$24,"CM ERROR",IF($F$30="ERROR: &gt;30%","ERROR: &gt;30%",S26)))</f>
        <v>-</v>
      </c>
      <c r="V26" s="1031" t="s">
        <v>315</v>
      </c>
      <c r="W26" s="1324"/>
      <c r="X26" s="1324"/>
      <c r="Y26" s="1032"/>
      <c r="Z26" s="934" t="s">
        <v>278</v>
      </c>
      <c r="AA26" s="1324"/>
      <c r="AB26" s="1032"/>
    </row>
    <row r="27" spans="3:28" ht="15" thickBot="1" x14ac:dyDescent="0.35">
      <c r="C27" s="1033" t="s">
        <v>166</v>
      </c>
      <c r="D27" s="1390"/>
      <c r="E27" s="598">
        <f>'3 Paste Quality'!B34</f>
        <v>0</v>
      </c>
      <c r="I27" s="85" t="s">
        <v>68</v>
      </c>
      <c r="J27" s="573">
        <f>'3 Paste Quality'!E14</f>
        <v>0</v>
      </c>
      <c r="K27" s="573" t="str">
        <f>IF(D32=0,"-",(D32/100)*'3 Paste Quality'!$B$31)</f>
        <v>-</v>
      </c>
      <c r="L27" s="81">
        <f t="shared" ref="L27:L30" si="8">IF(OR(J27=0,J27="-",K27=0,K27="-"),0,K27/(62.4*J27))</f>
        <v>0</v>
      </c>
      <c r="M27" s="728" t="str">
        <f>IF(L27=0,"-",IF('3 Paste Quality'!$B$31&lt;'7 Calculation Check'!$D$24,"CM ERROR",IF($F$30="ERROR: &gt;30%","ERROR: &gt;30%",L27)))</f>
        <v>-</v>
      </c>
      <c r="O27" s="85" t="s">
        <v>68</v>
      </c>
      <c r="P27" s="91" t="str">
        <f t="shared" ref="P27:P30" si="9">IF(F12=0,"-",F12)</f>
        <v>-</v>
      </c>
      <c r="Q27" s="584"/>
      <c r="R27" s="573" t="str">
        <f>IF(D32=0,"-",(D32/100)*'3 Paste Quality'!$B$31)</f>
        <v>-</v>
      </c>
      <c r="S27" s="81">
        <f>IF(OR(P27=0,P27="-",R27=0,R27="-"),0,R27/(62.4*P27))</f>
        <v>0</v>
      </c>
      <c r="T27" s="728" t="str">
        <f>IF(S27=0,"-",IF('3 Paste Quality'!$B$31&lt;'7 Calculation Check'!$D$24,"CM ERROR",IF($F$30="ERROR: &gt;30%","ERROR: &gt;30%",S27)))</f>
        <v>-</v>
      </c>
      <c r="V27" s="725" t="s">
        <v>325</v>
      </c>
      <c r="W27" s="726" t="s">
        <v>77</v>
      </c>
      <c r="X27" s="726" t="s">
        <v>271</v>
      </c>
      <c r="Y27" s="727" t="s">
        <v>323</v>
      </c>
      <c r="Z27" s="94" t="s">
        <v>63</v>
      </c>
      <c r="AA27" s="726" t="s">
        <v>271</v>
      </c>
      <c r="AB27" s="727" t="s">
        <v>318</v>
      </c>
    </row>
    <row r="28" spans="3:28" ht="15" thickBot="1" x14ac:dyDescent="0.35">
      <c r="I28" s="85" t="s">
        <v>72</v>
      </c>
      <c r="J28" s="573">
        <f>'3 Paste Quality'!E15</f>
        <v>0</v>
      </c>
      <c r="K28" s="573" t="str">
        <f>IF(D33=0,"-",(D33/100)*'3 Paste Quality'!$B$31)</f>
        <v>-</v>
      </c>
      <c r="L28" s="81">
        <f t="shared" si="8"/>
        <v>0</v>
      </c>
      <c r="M28" s="728" t="str">
        <f>IF(L28=0,"-",IF('3 Paste Quality'!$B$31&lt;'7 Calculation Check'!$D$24,"CM ERROR",IF($F$30="ERROR: &gt;30%","ERROR: &gt;30%",L28)))</f>
        <v>-</v>
      </c>
      <c r="O28" s="85" t="s">
        <v>72</v>
      </c>
      <c r="P28" s="91" t="str">
        <f t="shared" si="9"/>
        <v>-</v>
      </c>
      <c r="Q28" s="584"/>
      <c r="R28" s="573" t="str">
        <f>IF(D33=0,"-",(D33/100)*'3 Paste Quality'!$B$31)</f>
        <v>-</v>
      </c>
      <c r="S28" s="81">
        <f t="shared" ref="S28:S30" si="10">IF(OR(P28=0,P28="-",R28=0,R28="-"),0,R28/(62.4*P28))</f>
        <v>0</v>
      </c>
      <c r="T28" s="728" t="str">
        <f>IF(S28=0,"-",IF('3 Paste Quality'!$B$31&lt;'7 Calculation Check'!$D$24,"CM ERROR",IF($F$30="ERROR: &gt;30%","ERROR: &gt;30%",S28)))</f>
        <v>-</v>
      </c>
      <c r="V28" s="85">
        <v>1</v>
      </c>
      <c r="W28" s="573">
        <f>'3 Paste Quality'!B50</f>
        <v>0</v>
      </c>
      <c r="X28" s="573">
        <f>'3 Paste Quality'!D50</f>
        <v>0</v>
      </c>
      <c r="Y28" s="728">
        <f>'3 Paste Quality'!F50</f>
        <v>0</v>
      </c>
      <c r="Z28" s="95" t="str">
        <f>IF(AND(W28=0,X28=0,Y28=0),"-",IF(AND(W28=0,X28&gt;0,Y28&gt;0),"Name?",IF(AND(W28=0,X28=0,Y28&gt;0),"Name?",IF(AND(W28=0,X28&gt;0,Y28=0),"Name?",W28))))</f>
        <v>-</v>
      </c>
      <c r="AA28" s="573" t="str">
        <f>IF(AND(W28=0,X28=0,Y28=0),"-",IF(AND(W28&gt;0,X28=0,Y28&gt;0),"Type?",IF(AND(W28&gt;0,X28=0,Y28=0),"Type?",IF(AND(W28=0,X28=0,Y28&gt;0),"Type?",X28))))</f>
        <v>-</v>
      </c>
      <c r="AB28" s="728" t="str">
        <f>IF(AND(W28=0,X28=0,Y28=0),"-",IF(AND(W28&gt;0,X28&gt;0,Y28=0),"Dosage?",IF(AND(W28&gt;0,X28=0,Y28=0),"Dosage?",IF(AND(W28=0,X28&gt;0,Y28=0),"Dosage?",Y28))))</f>
        <v>-</v>
      </c>
    </row>
    <row r="29" spans="3:28" ht="15" thickBot="1" x14ac:dyDescent="0.35">
      <c r="C29" s="1031" t="s">
        <v>413</v>
      </c>
      <c r="D29" s="1032"/>
      <c r="E29" s="117" t="s">
        <v>415</v>
      </c>
      <c r="F29" s="616">
        <v>30</v>
      </c>
      <c r="I29" s="85" t="s">
        <v>206</v>
      </c>
      <c r="J29" s="573">
        <f>'3 Paste Quality'!E16</f>
        <v>0</v>
      </c>
      <c r="K29" s="573" t="str">
        <f>IF(D34=0,"-",(D34/100)*'3 Paste Quality'!$B$31)</f>
        <v>-</v>
      </c>
      <c r="L29" s="81">
        <f t="shared" si="8"/>
        <v>0</v>
      </c>
      <c r="M29" s="728" t="str">
        <f>IF(L29=0,"-",IF('3 Paste Quality'!$B$31&lt;'7 Calculation Check'!$D$24,"CM ERROR",IF($F$30="ERROR: &gt;30%","ERROR: &gt;30%",L29)))</f>
        <v>-</v>
      </c>
      <c r="O29" s="85" t="s">
        <v>206</v>
      </c>
      <c r="P29" s="91" t="str">
        <f t="shared" si="9"/>
        <v>-</v>
      </c>
      <c r="Q29" s="584"/>
      <c r="R29" s="573" t="str">
        <f>IF(D34=0,"-",(D34/100)*'3 Paste Quality'!$B$31)</f>
        <v>-</v>
      </c>
      <c r="S29" s="81">
        <f t="shared" si="10"/>
        <v>0</v>
      </c>
      <c r="T29" s="728" t="str">
        <f>IF(S29=0,"-",IF('3 Paste Quality'!$B$31&lt;'7 Calculation Check'!$D$24,"CM ERROR",IF($F$30="ERROR: &gt;30%","ERROR: &gt;30%",S29)))</f>
        <v>-</v>
      </c>
      <c r="V29" s="85">
        <v>2</v>
      </c>
      <c r="W29" s="573">
        <f>'3 Paste Quality'!B51</f>
        <v>0</v>
      </c>
      <c r="X29" s="573">
        <f>'3 Paste Quality'!D51</f>
        <v>0</v>
      </c>
      <c r="Y29" s="728">
        <f>'3 Paste Quality'!F51</f>
        <v>0</v>
      </c>
      <c r="Z29" s="95" t="str">
        <f>IF(AND(W29=0,X29=0,Y29=0),"-",IF(AND(W29=0,X29&gt;0,Y29&gt;0),"Name?",IF(AND(W29=0,X29=0,Y29&gt;0),"Name?",IF(AND(W29=0,X29&gt;0,Y29=0),"Name?",W29))))</f>
        <v>-</v>
      </c>
      <c r="AA29" s="573" t="str">
        <f>IF(AND(W29=0,X29=0,Y29=0),"-",IF(AND(W29&gt;0,X29=0,Y29&gt;0),"Type?",IF(AND(W29&gt;0,X29=0,Y29=0),"Type?",IF(AND(W29=0,X29=0,Y29&gt;0),"Type?",X29))))</f>
        <v>-</v>
      </c>
      <c r="AB29" s="728" t="str">
        <f>IF(AND(W29=0,X29=0,Y29=0),"-",IF(AND(W29&gt;0,X29&gt;0,Y29=0),"Dosage?",IF(AND(W29&gt;0,X29=0,Y29=0),"Dosage?",IF(AND(W29=0,X29&gt;0,Y29=0),"Dosage?",Y29))))</f>
        <v>-</v>
      </c>
    </row>
    <row r="30" spans="3:28" ht="15" thickBot="1" x14ac:dyDescent="0.35">
      <c r="C30" s="1386" t="s">
        <v>79</v>
      </c>
      <c r="D30" s="1387" t="s">
        <v>414</v>
      </c>
      <c r="E30" s="117" t="s">
        <v>278</v>
      </c>
      <c r="F30" s="117">
        <f>IF(D36&gt;$F$29,"ERROR: &gt;30%",D36)</f>
        <v>0</v>
      </c>
      <c r="G30" s="80"/>
      <c r="I30" s="86" t="s">
        <v>208</v>
      </c>
      <c r="J30" s="87">
        <f>'3 Paste Quality'!E17</f>
        <v>0</v>
      </c>
      <c r="K30" s="87" t="str">
        <f>IF(D35=0,"-",(D35/100)*'3 Paste Quality'!$B$31)</f>
        <v>-</v>
      </c>
      <c r="L30" s="90">
        <f t="shared" si="8"/>
        <v>0</v>
      </c>
      <c r="M30" s="88" t="str">
        <f>IF(L30=0,"-",IF('3 Paste Quality'!$B$31&lt;'7 Calculation Check'!$D$24,"CM ERROR",IF($F$30="ERROR: &gt;30%","ERROR: &gt;30%",L30)))</f>
        <v>-</v>
      </c>
      <c r="O30" s="86" t="s">
        <v>208</v>
      </c>
      <c r="P30" s="578" t="str">
        <f t="shared" si="9"/>
        <v>-</v>
      </c>
      <c r="Q30" s="585"/>
      <c r="R30" s="87" t="str">
        <f>IF(D35=0,"-",(D35/100)*'3 Paste Quality'!$B$31)</f>
        <v>-</v>
      </c>
      <c r="S30" s="90">
        <f t="shared" si="10"/>
        <v>0</v>
      </c>
      <c r="T30" s="88" t="str">
        <f>IF(S30=0,"-",IF('3 Paste Quality'!$B$31&lt;'7 Calculation Check'!$D$24,"CM ERROR",IF($F$30="ERROR: &gt;30%","ERROR: &gt;30%",S30)))</f>
        <v>-</v>
      </c>
      <c r="V30" s="85">
        <v>3</v>
      </c>
      <c r="W30" s="573">
        <f>'3 Paste Quality'!B52</f>
        <v>0</v>
      </c>
      <c r="X30" s="573">
        <f>'3 Paste Quality'!D52</f>
        <v>0</v>
      </c>
      <c r="Y30" s="728">
        <f>'3 Paste Quality'!F52</f>
        <v>0</v>
      </c>
      <c r="Z30" s="95" t="str">
        <f>IF(AND(W30=0,X30=0,Y30=0),"-",IF(AND(W30=0,X30&gt;0,Y30&gt;0),"Name?",IF(AND(W30=0,X30=0,Y30&gt;0),"Name?",IF(AND(W30=0,X30&gt;0,Y30=0),"Name?",W30))))</f>
        <v>-</v>
      </c>
      <c r="AA30" s="573" t="str">
        <f>IF(AND(W30=0,X30=0,Y30=0),"-",IF(AND(W30&gt;0,X30=0,Y30&gt;0),"Type?",IF(AND(W30&gt;0,X30=0,Y30=0),"Type?",IF(AND(W30=0,X30=0,Y30&gt;0),"Type?",X30))))</f>
        <v>-</v>
      </c>
      <c r="AB30" s="728" t="str">
        <f>IF(AND(W30=0,X30=0,Y30=0),"-",IF(AND(W30&gt;0,X30&gt;0,Y30=0),"Dosage?",IF(AND(W30&gt;0,X30=0,Y30=0),"Dosage?",IF(AND(W30=0,X30&gt;0,Y30=0),"Dosage?",Y30))))</f>
        <v>-</v>
      </c>
    </row>
    <row r="31" spans="3:28" ht="15" thickBot="1" x14ac:dyDescent="0.35">
      <c r="C31" s="1036"/>
      <c r="D31" s="1388"/>
      <c r="E31" s="117" t="s">
        <v>416</v>
      </c>
      <c r="F31" s="117" t="s">
        <v>312</v>
      </c>
      <c r="I31" s="725" t="s">
        <v>75</v>
      </c>
      <c r="J31" s="726">
        <v>1</v>
      </c>
      <c r="K31" s="726" t="str">
        <f>IF(F24="CM ERROR","CM ERROR",F24*E25)</f>
        <v>CM ERROR</v>
      </c>
      <c r="L31" s="726" t="e">
        <f>K31/(62.4)</f>
        <v>#VALUE!</v>
      </c>
      <c r="M31" s="727" t="str">
        <f>IF(OR(K31="CM ERROR",F25="W/CM ERROR"),"CM ERROR",L31)</f>
        <v>CM ERROR</v>
      </c>
      <c r="O31" s="725" t="s">
        <v>75</v>
      </c>
      <c r="P31" s="726">
        <v>1</v>
      </c>
      <c r="Q31" s="606"/>
      <c r="R31" s="599" t="str">
        <f>IF(F24="CM ERROR","CM ERROR",F24*E25)</f>
        <v>CM ERROR</v>
      </c>
      <c r="S31" s="726" t="e">
        <f>R31/(62.4)</f>
        <v>#VALUE!</v>
      </c>
      <c r="T31" s="727" t="str">
        <f>IF(OR(R31="CM ERROR",M21="W/CM ERROR"),"CM ERROR",S31)</f>
        <v>CM ERROR</v>
      </c>
      <c r="V31" s="86">
        <v>4</v>
      </c>
      <c r="W31" s="87">
        <f>'3 Paste Quality'!B53</f>
        <v>0</v>
      </c>
      <c r="X31" s="87">
        <f>'3 Paste Quality'!D53</f>
        <v>0</v>
      </c>
      <c r="Y31" s="88">
        <f>'3 Paste Quality'!F53</f>
        <v>0</v>
      </c>
      <c r="Z31" s="96" t="str">
        <f>IF(AND(W31=0,X31=0,Y31=0),"-",IF(AND(W31=0,X31&gt;0,Y31&gt;0),"Name?",IF(AND(W31=0,X31=0,Y31&gt;0),"Name?",IF(AND(W31=0,X31&gt;0,Y31=0),"Name?",W31))))</f>
        <v>-</v>
      </c>
      <c r="AA31" s="87" t="str">
        <f>IF(AND(W31=0,X31=0,Y31=0),"-",IF(AND(W31&gt;0,X31=0,Y31&gt;0),"Type?",IF(AND(W31&gt;0,X31=0,Y31=0),"Type?",IF(AND(W31=0,X31=0,Y31&gt;0),"Type?",X31))))</f>
        <v>-</v>
      </c>
      <c r="AB31" s="88" t="str">
        <f>IF(AND(W31=0,X31=0,Y31=0),"-",IF(AND(W31&gt;0,X31&gt;0,Y31=0),"Dosage?",IF(AND(W31&gt;0,X31=0,Y31=0),"Dosage?",IF(AND(W31=0,X31&gt;0,Y31=0),"Dosage?",Y31))))</f>
        <v>-</v>
      </c>
    </row>
    <row r="32" spans="3:28" ht="15" thickBot="1" x14ac:dyDescent="0.35">
      <c r="C32" s="588" t="s">
        <v>68</v>
      </c>
      <c r="D32" s="614">
        <f>'3 Paste Quality'!B38</f>
        <v>0</v>
      </c>
      <c r="E32" s="618" t="str">
        <f>IFERROR(ROUND((D32/100)*$F$24,0),"-")</f>
        <v>-</v>
      </c>
      <c r="F32" s="619" t="str">
        <f>IFERROR(ROUND(F24-(SUM(E32:E35)),0),"-")</f>
        <v>-</v>
      </c>
      <c r="I32" s="86" t="s">
        <v>284</v>
      </c>
      <c r="J32" s="586">
        <f>'3 Paste Quality'!$B$33</f>
        <v>0</v>
      </c>
      <c r="K32" s="87" t="s">
        <v>285</v>
      </c>
      <c r="L32" s="87">
        <f>(E26/100)*27.2</f>
        <v>0</v>
      </c>
      <c r="M32" s="88" t="str">
        <f>IF(OR(L32="",L32=0),"AIR ?",L32)</f>
        <v>AIR ?</v>
      </c>
      <c r="O32" s="86" t="s">
        <v>284</v>
      </c>
      <c r="P32" s="586">
        <f>'3 Paste Quality'!$B$33</f>
        <v>0</v>
      </c>
      <c r="Q32" s="585"/>
      <c r="R32" s="585"/>
      <c r="S32" s="87">
        <f>(E26/100)*27.2</f>
        <v>0</v>
      </c>
      <c r="T32" s="88" t="str">
        <f>IF(OR(S32="",S32=0),"AIR ?",S32)</f>
        <v>AIR ?</v>
      </c>
    </row>
    <row r="33" spans="3:23" ht="15" thickBot="1" x14ac:dyDescent="0.35">
      <c r="C33" s="588" t="s">
        <v>72</v>
      </c>
      <c r="D33" s="614">
        <f>'3 Paste Quality'!B39</f>
        <v>0</v>
      </c>
      <c r="E33" s="611" t="str">
        <f>IFERROR(ROUND((D33/100)*$F$24,0),"-")</f>
        <v>-</v>
      </c>
      <c r="V33" s="1391" t="s">
        <v>450</v>
      </c>
      <c r="W33" s="1392"/>
    </row>
    <row r="34" spans="3:23" ht="15" customHeight="1" thickBot="1" x14ac:dyDescent="0.35">
      <c r="C34" s="588" t="s">
        <v>206</v>
      </c>
      <c r="D34" s="614">
        <f>'3 Paste Quality'!B40</f>
        <v>0</v>
      </c>
      <c r="E34" s="611" t="str">
        <f>IFERROR(ROUND((D34/100)*$F$24,0),"-")</f>
        <v>-</v>
      </c>
      <c r="I34" s="1031" t="s">
        <v>432</v>
      </c>
      <c r="J34" s="1324"/>
      <c r="K34" s="1032"/>
      <c r="O34" s="1031" t="s">
        <v>407</v>
      </c>
      <c r="P34" s="1324"/>
      <c r="Q34" s="1032"/>
      <c r="V34" s="1384" t="s">
        <v>544</v>
      </c>
      <c r="W34" s="1385"/>
    </row>
    <row r="35" spans="3:23" ht="15" thickBot="1" x14ac:dyDescent="0.35">
      <c r="C35" s="588" t="s">
        <v>208</v>
      </c>
      <c r="D35" s="614">
        <f>'3 Paste Quality'!B41</f>
        <v>0</v>
      </c>
      <c r="E35" s="617" t="str">
        <f>IFERROR(ROUND((D35/100)*$F$24,0),"-")</f>
        <v>-</v>
      </c>
      <c r="I35" s="130" t="s">
        <v>79</v>
      </c>
      <c r="J35" s="590" t="s">
        <v>181</v>
      </c>
      <c r="K35" s="130" t="s">
        <v>287</v>
      </c>
      <c r="O35" s="130" t="s">
        <v>79</v>
      </c>
      <c r="P35" s="590" t="s">
        <v>181</v>
      </c>
      <c r="Q35" s="130" t="s">
        <v>287</v>
      </c>
      <c r="V35" s="1380"/>
      <c r="W35" s="1381"/>
    </row>
    <row r="36" spans="3:23" ht="15" customHeight="1" thickBot="1" x14ac:dyDescent="0.35">
      <c r="C36" s="589" t="s">
        <v>417</v>
      </c>
      <c r="D36" s="615">
        <f>SUM(D32:D35)</f>
        <v>0</v>
      </c>
      <c r="I36" s="588" t="s">
        <v>288</v>
      </c>
      <c r="J36" s="630">
        <f>SUM(K21:K23)</f>
        <v>0</v>
      </c>
      <c r="K36" s="588">
        <f>SUM(L21:L23)</f>
        <v>0</v>
      </c>
      <c r="O36" s="588" t="s">
        <v>288</v>
      </c>
      <c r="P36" s="630">
        <f>SUM(R21:R23)</f>
        <v>0</v>
      </c>
      <c r="Q36" s="588">
        <f>SUM(S21:S23)</f>
        <v>0</v>
      </c>
      <c r="V36" s="1380"/>
      <c r="W36" s="1381"/>
    </row>
    <row r="37" spans="3:23" x14ac:dyDescent="0.3">
      <c r="I37" s="588" t="s">
        <v>289</v>
      </c>
      <c r="J37" s="630">
        <f>SUM(K24:K25)</f>
        <v>0</v>
      </c>
      <c r="K37" s="588">
        <f>SUM(L24:L25)</f>
        <v>0</v>
      </c>
      <c r="O37" s="588" t="s">
        <v>289</v>
      </c>
      <c r="P37" s="630">
        <f>SUM(R24:R25)</f>
        <v>0</v>
      </c>
      <c r="Q37" s="588">
        <f>SUM(S24:S25)</f>
        <v>0</v>
      </c>
      <c r="V37" s="1380" t="s">
        <v>545</v>
      </c>
      <c r="W37" s="1381"/>
    </row>
    <row r="38" spans="3:23" x14ac:dyDescent="0.3">
      <c r="I38" s="588" t="s">
        <v>286</v>
      </c>
      <c r="J38" s="630">
        <f>SUM(K21:K25)</f>
        <v>0</v>
      </c>
      <c r="K38" s="588">
        <f>SUM(L21:L25)</f>
        <v>0</v>
      </c>
      <c r="O38" s="588" t="s">
        <v>286</v>
      </c>
      <c r="P38" s="630">
        <f>SUM(R21:R25)</f>
        <v>0</v>
      </c>
      <c r="Q38" s="588">
        <f>SUM(S21:S25)</f>
        <v>0</v>
      </c>
      <c r="V38" s="1380"/>
      <c r="W38" s="1381"/>
    </row>
    <row r="39" spans="3:23" ht="15" thickBot="1" x14ac:dyDescent="0.35">
      <c r="I39" s="588" t="s">
        <v>81</v>
      </c>
      <c r="J39" s="591">
        <f>SUM(K26:K30)</f>
        <v>0</v>
      </c>
      <c r="K39" s="632">
        <f>SUM(L26:L30)</f>
        <v>0</v>
      </c>
      <c r="O39" s="588" t="s">
        <v>81</v>
      </c>
      <c r="P39" s="591">
        <f>SUM(R26:R30)</f>
        <v>0</v>
      </c>
      <c r="Q39" s="632">
        <f>SUM(S26:S30)</f>
        <v>0</v>
      </c>
      <c r="V39" s="1382"/>
      <c r="W39" s="1383"/>
    </row>
    <row r="40" spans="3:23" x14ac:dyDescent="0.3">
      <c r="I40" s="588" t="s">
        <v>75</v>
      </c>
      <c r="J40" s="591">
        <f>SUM(K31)</f>
        <v>0</v>
      </c>
      <c r="K40" s="650" t="e">
        <f>L31</f>
        <v>#VALUE!</v>
      </c>
      <c r="O40" s="588" t="s">
        <v>75</v>
      </c>
      <c r="P40" s="591" t="str">
        <f>R31</f>
        <v>CM ERROR</v>
      </c>
      <c r="Q40" s="633" t="e">
        <f>S31</f>
        <v>#VALUE!</v>
      </c>
    </row>
    <row r="41" spans="3:23" x14ac:dyDescent="0.3">
      <c r="I41" s="588" t="s">
        <v>284</v>
      </c>
      <c r="J41" s="591">
        <f>E26</f>
        <v>0</v>
      </c>
      <c r="K41" s="588" t="str">
        <f>M32</f>
        <v>AIR ?</v>
      </c>
      <c r="O41" s="588" t="s">
        <v>284</v>
      </c>
      <c r="P41" s="592">
        <f>E26</f>
        <v>0</v>
      </c>
      <c r="Q41" s="588" t="str">
        <f>T32</f>
        <v>AIR ?</v>
      </c>
    </row>
    <row r="42" spans="3:23" ht="15" thickBot="1" x14ac:dyDescent="0.35">
      <c r="I42" s="731" t="s">
        <v>80</v>
      </c>
      <c r="J42" s="631">
        <f>SUM(J38:J40)</f>
        <v>0</v>
      </c>
      <c r="K42" s="731" t="e">
        <f>SUM(K38:K41)</f>
        <v>#VALUE!</v>
      </c>
      <c r="O42" s="589" t="s">
        <v>80</v>
      </c>
      <c r="P42" s="631">
        <f>SUM(P38:P40)</f>
        <v>0</v>
      </c>
      <c r="Q42" s="731" t="e">
        <f>SUM(Q38:Q41)</f>
        <v>#VALUE!</v>
      </c>
    </row>
    <row r="43" spans="3:23" x14ac:dyDescent="0.3">
      <c r="I43" s="130" t="s">
        <v>290</v>
      </c>
      <c r="J43" s="634" t="s">
        <v>276</v>
      </c>
      <c r="K43" s="130" t="s">
        <v>278</v>
      </c>
      <c r="O43" s="130" t="s">
        <v>290</v>
      </c>
      <c r="P43" s="634" t="s">
        <v>276</v>
      </c>
      <c r="Q43" s="130" t="s">
        <v>278</v>
      </c>
    </row>
    <row r="44" spans="3:23" x14ac:dyDescent="0.3">
      <c r="I44" s="588" t="s">
        <v>226</v>
      </c>
      <c r="J44" s="591" t="e">
        <f>(K36/$K$42)*100</f>
        <v>#VALUE!</v>
      </c>
      <c r="K44" s="588" t="str">
        <f>IF(F24="CM ERROR","CM ERROR",IF(OR(E6="SG?",E7="SG?",E8="SG?",E9="SG?",E10="SG?",E6="GRAD. ?",E7="GRAD. ?",E8="GRAD. ?",E9="GRAD. ?",E10="GRAD. ?"),"AGG. ERROR",IF(M30="SCM ERROR","CM ERROR",J44)))</f>
        <v>CM ERROR</v>
      </c>
      <c r="O44" s="588" t="s">
        <v>226</v>
      </c>
      <c r="P44" s="591" t="e">
        <f>(Q36/$Q$42)*100</f>
        <v>#VALUE!</v>
      </c>
      <c r="Q44" s="588" t="str">
        <f>IF(F24="CM ERROR","CM ERROR",IF(OR(F6="SG?",F7="SG?",F8="SG?",F9="SG?",F10="SG?",F6="GRAD. ?",F7="GRAD. ?",F8="GRAD. ?",F9="GRAD. ?",F10="GRAD. ?"),"AGG. ERROR",IF(T30="SCM ERROR","CM ERROR",P44)))</f>
        <v>CM ERROR</v>
      </c>
    </row>
    <row r="45" spans="3:23" x14ac:dyDescent="0.3">
      <c r="I45" s="588" t="s">
        <v>225</v>
      </c>
      <c r="J45" s="591" t="e">
        <f>(K37/$K$42)*100</f>
        <v>#VALUE!</v>
      </c>
      <c r="K45" s="588" t="str">
        <f>IF(F24="CM ERROR","CM ERROR",IF(OR(E6="SG?",E7="SG?",E8="SG?",E9="SG?",E10="SG?",E6="GRAD. ?",E7="GRAD. ?",E8="GRAD. ?",E9="GRAD. ?",E10="GRAD. ?"),"AGG. ERROR",IF(M30="SCM ERROR","CM ERROR",J45)))</f>
        <v>CM ERROR</v>
      </c>
      <c r="O45" s="588" t="s">
        <v>225</v>
      </c>
      <c r="P45" s="591" t="e">
        <f>(Q37/$Q$42)*100</f>
        <v>#VALUE!</v>
      </c>
      <c r="Q45" s="588" t="str">
        <f>IF(F24="CM ERROR","CM ERROR",IF(OR(F6="SG?",F7="SG?",F8="SG?",F9="SG?",F10="SG?",F6="GRAD. ?",F7="GRAD. ?",F8="GRAD. ?",F9="GRAD. ?",F10="GRAD. ?"),"AGG. ERROR",IF(T30="SCM ERROR","CM ERROR",P45)))</f>
        <v>CM ERROR</v>
      </c>
    </row>
    <row r="46" spans="3:23" x14ac:dyDescent="0.3">
      <c r="I46" s="588" t="s">
        <v>228</v>
      </c>
      <c r="J46" s="591" t="e">
        <f>(K38/$K$42)*100</f>
        <v>#VALUE!</v>
      </c>
      <c r="K46" s="588" t="str">
        <f>IF(F24="CM ERROR","CM ERROR",IF(OR(K44="AGG. ERROR",K45="AGG. ERROR"),"AGG. ERROR",IF(M30="SCM ERROR","CM ERROR",J46)))</f>
        <v>CM ERROR</v>
      </c>
      <c r="O46" s="588" t="s">
        <v>228</v>
      </c>
      <c r="P46" s="591" t="e">
        <f>(Q38/$Q$42)*100</f>
        <v>#VALUE!</v>
      </c>
      <c r="Q46" s="588" t="str">
        <f>IF(F24="CM ERROR","CM ERROR",IF(OR(Q44="AGG. ERROR",Q45="AGG. ERROR"),"AGG. ERROR",IF(T30="SCM ERROR","CM ERROR",P46)))</f>
        <v>CM ERROR</v>
      </c>
    </row>
    <row r="47" spans="3:23" x14ac:dyDescent="0.3">
      <c r="I47" s="588" t="s">
        <v>227</v>
      </c>
      <c r="J47" s="591" t="e">
        <f>100*SUM(K39:K41)/$K$42</f>
        <v>#VALUE!</v>
      </c>
      <c r="K47" s="588" t="str">
        <f>IF(M32="AIR ?","AIR ?",IF(F24="CM ERROR","CM ERROR",IF(OR(E11="SG?",E12="SG?",E13="SG?",E14="SG?",E15="SG?"),"CM ERROR",IF(M30="SCM ERROR","CM ERROR",J47))))</f>
        <v>AIR ?</v>
      </c>
      <c r="O47" s="588" t="s">
        <v>227</v>
      </c>
      <c r="P47" s="591" t="e">
        <f>100*SUM(Q39:Q41)/$Q$42</f>
        <v>#VALUE!</v>
      </c>
      <c r="Q47" s="588" t="str">
        <f>IF(T32="AIR ?","AIR ?",IF(F24="CM ERROR","CM ERROR",IF(OR(L11="SG?",L12="SG?",L13="SG?",L14="SG?",L15="SG?"),"CM ERROR",IF(T30="SCM ERROR","CM ERROR",P47))))</f>
        <v>AIR ?</v>
      </c>
    </row>
    <row r="48" spans="3:23" x14ac:dyDescent="0.3">
      <c r="I48" s="588" t="s">
        <v>291</v>
      </c>
      <c r="J48" s="591" t="e">
        <f>(J49*'7 Calculation Check'!J46)/100</f>
        <v>#VALUE!</v>
      </c>
      <c r="K48" s="588" t="str">
        <f>IF(F24="CM ERROR","CM ERROR",IF(J49=0,"VOID CONT.?",J48))</f>
        <v>CM ERROR</v>
      </c>
      <c r="O48" s="588" t="s">
        <v>291</v>
      </c>
      <c r="P48" s="591" t="e">
        <f>(P49*'7 Calculation Check'!P46)/100</f>
        <v>#VALUE!</v>
      </c>
      <c r="Q48" s="588" t="str">
        <f>IF(F24="CM ERROR","CM ERROR",IF(P49=0,"VOID CONT.?",P48))</f>
        <v>CM ERROR</v>
      </c>
    </row>
    <row r="49" spans="8:20" x14ac:dyDescent="0.3">
      <c r="I49" s="588" t="s">
        <v>269</v>
      </c>
      <c r="J49" s="591">
        <f>'3 Paste Quality'!B36</f>
        <v>0</v>
      </c>
      <c r="K49" s="588" t="str">
        <f>IF(OR(J49="",J49=0),"VOID CONT.?",'3 Paste Quality'!B36)</f>
        <v>VOID CONT.?</v>
      </c>
      <c r="O49" s="588" t="s">
        <v>269</v>
      </c>
      <c r="P49" s="591">
        <f>'3 Paste Quality'!B36</f>
        <v>0</v>
      </c>
      <c r="Q49" s="588" t="str">
        <f>IF(OR(P49="",P49=0),"VOID CONT.?",'3 Paste Quality'!B36)</f>
        <v>VOID CONT.?</v>
      </c>
    </row>
    <row r="50" spans="8:20" ht="15" thickBot="1" x14ac:dyDescent="0.35">
      <c r="I50" s="589" t="s">
        <v>82</v>
      </c>
      <c r="J50" s="593" t="e">
        <f>J47/J48</f>
        <v>#VALUE!</v>
      </c>
      <c r="K50" s="589" t="str">
        <f>IF(F24="CM ERROR","CM ERROR",IF(K49="VOID CONT.?","VOID CONT.?",J50))</f>
        <v>CM ERROR</v>
      </c>
      <c r="L50" s="92" t="str">
        <f>IF(K50="VOID CONT.?","VOID CONT.?",K50)</f>
        <v>CM ERROR</v>
      </c>
      <c r="O50" s="589" t="s">
        <v>82</v>
      </c>
      <c r="P50" s="593" t="e">
        <f>P47/P48</f>
        <v>#VALUE!</v>
      </c>
      <c r="Q50" s="589" t="str">
        <f>IF(F24="CM ERROR","CM ERROR",IF(Q49="VOID CONT.?","VOID CONT.?",P50))</f>
        <v>CM ERROR</v>
      </c>
      <c r="R50" s="92" t="str">
        <f>IF(Q50="VOID CONT.?","VOID CONT.?",Q50)</f>
        <v>CM ERROR</v>
      </c>
    </row>
    <row r="51" spans="8:20" ht="15" thickBot="1" x14ac:dyDescent="0.35">
      <c r="I51" s="117" t="s">
        <v>222</v>
      </c>
      <c r="J51" s="117">
        <f>'3 Paste Quality'!$B$36</f>
        <v>0</v>
      </c>
      <c r="O51" s="117" t="s">
        <v>436</v>
      </c>
      <c r="P51" s="730">
        <v>27.2</v>
      </c>
    </row>
    <row r="52" spans="8:20" ht="15" thickBot="1" x14ac:dyDescent="0.35"/>
    <row r="53" spans="8:20" ht="15" thickBot="1" x14ac:dyDescent="0.35">
      <c r="H53" s="1031" t="s">
        <v>389</v>
      </c>
      <c r="I53" s="1324"/>
      <c r="J53" s="1324"/>
      <c r="K53" s="1324"/>
      <c r="L53" s="1032"/>
      <c r="M53" s="117" t="s">
        <v>204</v>
      </c>
      <c r="O53" s="1031" t="s">
        <v>390</v>
      </c>
      <c r="P53" s="1324"/>
      <c r="Q53" s="1324"/>
      <c r="R53" s="1324"/>
      <c r="S53" s="1032"/>
      <c r="T53" s="117" t="s">
        <v>204</v>
      </c>
    </row>
    <row r="54" spans="8:20" ht="15" thickBot="1" x14ac:dyDescent="0.35">
      <c r="H54" s="587" t="s">
        <v>277</v>
      </c>
      <c r="I54" s="130" t="s">
        <v>47</v>
      </c>
      <c r="J54" s="590" t="s">
        <v>276</v>
      </c>
      <c r="K54" s="130" t="s">
        <v>278</v>
      </c>
      <c r="L54" s="131"/>
      <c r="M54" s="117" t="str">
        <f>'4 Mix Design'!E54</f>
        <v>Slip-form</v>
      </c>
      <c r="O54" s="130" t="s">
        <v>277</v>
      </c>
      <c r="P54" s="590" t="s">
        <v>47</v>
      </c>
      <c r="Q54" s="130" t="s">
        <v>276</v>
      </c>
      <c r="R54" s="590" t="s">
        <v>278</v>
      </c>
      <c r="S54" s="130"/>
      <c r="T54" s="117" t="str">
        <f>'Optimize Tool'!A38</f>
        <v>Slip-form</v>
      </c>
    </row>
    <row r="55" spans="8:20" ht="15.6" x14ac:dyDescent="0.3">
      <c r="H55" s="77" t="s">
        <v>273</v>
      </c>
      <c r="I55" s="588">
        <v>2.2999999999999998</v>
      </c>
      <c r="J55" s="591" t="e">
        <f>IF(M54=0,"ERROR",Data_Charts!$M$44)</f>
        <v>#VALUE!</v>
      </c>
      <c r="K55" s="588" t="e">
        <f>IF(M54=0,"ERROR",IF(J55&lt;=I55,"Pass","Fail"))</f>
        <v>#VALUE!</v>
      </c>
      <c r="L55" s="729"/>
      <c r="O55" s="732" t="s">
        <v>273</v>
      </c>
      <c r="P55" s="591">
        <v>2.2999999999999998</v>
      </c>
      <c r="Q55" s="588" t="e">
        <f>IF(T54=0,"ERROR",Data_Charts!$M$44)</f>
        <v>#VALUE!</v>
      </c>
      <c r="R55" s="591" t="e">
        <f>IF(T54=0,"ERROR",IF(Q55&lt;=P55,"Pass","Fail"))</f>
        <v>#VALUE!</v>
      </c>
      <c r="S55" s="588"/>
    </row>
    <row r="56" spans="8:20" ht="15.6" x14ac:dyDescent="0.3">
      <c r="H56" s="77" t="s">
        <v>274</v>
      </c>
      <c r="I56" s="588">
        <v>15</v>
      </c>
      <c r="J56" s="592">
        <f>IF(M54=0,"ERROR",SUM(L12:L14))</f>
        <v>0</v>
      </c>
      <c r="K56" s="588" t="str">
        <f>IF(M54=0,"ERROR",IF(J56&gt;=I56,"Pass","Fail"))</f>
        <v>Fail</v>
      </c>
      <c r="L56" s="729"/>
      <c r="O56" s="732" t="s">
        <v>274</v>
      </c>
      <c r="P56" s="591">
        <v>15</v>
      </c>
      <c r="Q56" s="596">
        <f>IF(T54=0,"ERROR",SUM(R12:R14))</f>
        <v>0</v>
      </c>
      <c r="R56" s="591" t="str">
        <f>IF(T54=0,"ERROR",IF(Q56&gt;=P56,"Pass","Fail"))</f>
        <v>Fail</v>
      </c>
      <c r="S56" s="588"/>
    </row>
    <row r="57" spans="8:20" x14ac:dyDescent="0.3">
      <c r="H57" s="1402" t="s">
        <v>275</v>
      </c>
      <c r="I57" s="588" t="s">
        <v>241</v>
      </c>
      <c r="J57" s="591" t="s">
        <v>242</v>
      </c>
      <c r="K57" s="588" t="s">
        <v>276</v>
      </c>
      <c r="L57" s="729" t="s">
        <v>278</v>
      </c>
      <c r="O57" s="1405" t="s">
        <v>275</v>
      </c>
      <c r="P57" s="591" t="s">
        <v>241</v>
      </c>
      <c r="Q57" s="588" t="s">
        <v>242</v>
      </c>
      <c r="R57" s="591" t="s">
        <v>276</v>
      </c>
      <c r="S57" s="588" t="s">
        <v>278</v>
      </c>
    </row>
    <row r="58" spans="8:20" ht="15" thickBot="1" x14ac:dyDescent="0.35">
      <c r="H58" s="1403"/>
      <c r="I58" s="589">
        <v>24</v>
      </c>
      <c r="J58" s="593">
        <f>IF('4 Mix Design'!E54="","ERROR",IF('4 Mix Design'!E54="Slip-form",34,40))</f>
        <v>34</v>
      </c>
      <c r="K58" s="595">
        <f>IF(M54=0,"ERROR",SUM(L14:L17))</f>
        <v>0</v>
      </c>
      <c r="L58" s="594" t="str">
        <f>IF(M54=0,"ERROR",IF(AND(K58&gt;=$I$58,K58&lt;=$J$58),"Pass","Fail"))</f>
        <v>Fail</v>
      </c>
      <c r="O58" s="1406"/>
      <c r="P58" s="593">
        <f>IF(T54=0,"ERROR",24)</f>
        <v>24</v>
      </c>
      <c r="Q58" s="589">
        <f>IF('Optimize Tool'!A38="","ERROR",IF('Optimize Tool'!A38="Slip-form",34,40))</f>
        <v>34</v>
      </c>
      <c r="R58" s="597">
        <f>IF(T54=0,"ERROR",SUM(R14:R17))</f>
        <v>0</v>
      </c>
      <c r="S58" s="589" t="str">
        <f>IF(T54=0,"ERROR",IF(AND(R58&gt;=$P$58,R58&lt;=$Q$58),"Pass","Fail"))</f>
        <v>Fail</v>
      </c>
    </row>
  </sheetData>
  <mergeCells count="43">
    <mergeCell ref="A1:E1"/>
    <mergeCell ref="F1:H1"/>
    <mergeCell ref="I2:M2"/>
    <mergeCell ref="O2:S2"/>
    <mergeCell ref="J3:K3"/>
    <mergeCell ref="L3:L4"/>
    <mergeCell ref="P3:Q3"/>
    <mergeCell ref="R3:R4"/>
    <mergeCell ref="S3:S4"/>
    <mergeCell ref="M3:M4"/>
    <mergeCell ref="C4:F4"/>
    <mergeCell ref="H57:H58"/>
    <mergeCell ref="H53:L53"/>
    <mergeCell ref="O3:O4"/>
    <mergeCell ref="I3:I4"/>
    <mergeCell ref="O34:Q34"/>
    <mergeCell ref="I34:K34"/>
    <mergeCell ref="O53:S53"/>
    <mergeCell ref="O57:O58"/>
    <mergeCell ref="V2:AB2"/>
    <mergeCell ref="V3:Y3"/>
    <mergeCell ref="Z12:AB12"/>
    <mergeCell ref="V11:AB11"/>
    <mergeCell ref="V12:Y12"/>
    <mergeCell ref="Z3:AB3"/>
    <mergeCell ref="C17:E17"/>
    <mergeCell ref="C22:F22"/>
    <mergeCell ref="V25:AB25"/>
    <mergeCell ref="V26:Y26"/>
    <mergeCell ref="Z26:AB26"/>
    <mergeCell ref="I19:M19"/>
    <mergeCell ref="O19:T19"/>
    <mergeCell ref="C26:D26"/>
    <mergeCell ref="V21:X21"/>
    <mergeCell ref="Y21:AA21"/>
    <mergeCell ref="V37:W39"/>
    <mergeCell ref="V34:W36"/>
    <mergeCell ref="C30:C31"/>
    <mergeCell ref="D30:D31"/>
    <mergeCell ref="V20:AA20"/>
    <mergeCell ref="C29:D29"/>
    <mergeCell ref="C27:D27"/>
    <mergeCell ref="V33:W33"/>
  </mergeCells>
  <pageMargins left="0.7" right="0.7" top="0.75" bottom="0.75" header="0.3" footer="0.3"/>
  <pageSetup scale="41" orientation="portrait" horizontalDpi="200" verticalDpi="200"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68F1B-7BF1-4C46-B375-34247CAAF7DF}">
  <dimension ref="A1:Q185"/>
  <sheetViews>
    <sheetView workbookViewId="0">
      <selection activeCell="Q16" sqref="Q16"/>
    </sheetView>
  </sheetViews>
  <sheetFormatPr defaultColWidth="8.88671875" defaultRowHeight="14.4" x14ac:dyDescent="0.3"/>
  <cols>
    <col min="1" max="1" width="3.44140625" style="504" customWidth="1"/>
    <col min="2" max="2" width="8.88671875" style="504"/>
    <col min="3" max="3" width="9.5546875" style="504" bestFit="1" customWidth="1"/>
    <col min="4" max="11" width="8.88671875" style="504"/>
    <col min="12" max="12" width="13" style="504" customWidth="1"/>
    <col min="13" max="15" width="8.88671875" style="504"/>
    <col min="16" max="16" width="9.6640625" style="504" customWidth="1"/>
    <col min="17" max="26" width="8.88671875" style="504"/>
    <col min="27" max="27" width="5.6640625" style="504" customWidth="1"/>
    <col min="28" max="16384" width="8.88671875" style="504"/>
  </cols>
  <sheetData>
    <row r="1" spans="1:16" ht="16.2" thickBot="1" x14ac:dyDescent="0.35">
      <c r="A1" s="826" t="s">
        <v>364</v>
      </c>
      <c r="B1" s="827"/>
      <c r="C1" s="827"/>
      <c r="D1" s="827"/>
      <c r="E1" s="827"/>
      <c r="F1" s="827"/>
      <c r="G1" s="827"/>
      <c r="H1" s="827"/>
      <c r="I1" s="828" t="s">
        <v>365</v>
      </c>
      <c r="J1" s="828"/>
      <c r="K1" s="828"/>
      <c r="L1" s="829"/>
    </row>
    <row r="2" spans="1:16" ht="15" thickBot="1" x14ac:dyDescent="0.35">
      <c r="A2" s="830" t="s">
        <v>608</v>
      </c>
      <c r="B2" s="830"/>
      <c r="C2" s="830"/>
      <c r="D2" s="830"/>
      <c r="E2" s="830"/>
      <c r="F2" s="830"/>
      <c r="G2" s="830"/>
      <c r="H2" s="830"/>
      <c r="I2" s="830"/>
      <c r="J2" s="830"/>
      <c r="K2" s="830"/>
      <c r="L2" s="830"/>
    </row>
    <row r="3" spans="1:16" ht="15" customHeight="1" thickBot="1" x14ac:dyDescent="0.35">
      <c r="A3" s="826" t="s">
        <v>609</v>
      </c>
      <c r="B3" s="827"/>
      <c r="C3" s="827"/>
      <c r="D3" s="827"/>
      <c r="E3" s="827"/>
      <c r="F3" s="827"/>
      <c r="G3" s="827"/>
      <c r="H3" s="827"/>
      <c r="I3" s="827"/>
      <c r="J3" s="827"/>
      <c r="K3" s="827"/>
      <c r="L3" s="834"/>
      <c r="M3" s="1414"/>
      <c r="N3" s="1414"/>
      <c r="O3" s="1414"/>
      <c r="P3" s="1414"/>
    </row>
    <row r="4" spans="1:16" ht="14.7" customHeight="1" x14ac:dyDescent="0.3">
      <c r="A4" s="511" t="s">
        <v>162</v>
      </c>
      <c r="B4" s="512"/>
      <c r="M4" s="574"/>
    </row>
    <row r="5" spans="1:16" ht="49.8" customHeight="1" x14ac:dyDescent="0.3">
      <c r="A5" s="1415"/>
      <c r="B5" s="1416" t="s">
        <v>610</v>
      </c>
      <c r="C5" s="1416"/>
      <c r="D5" s="1416"/>
      <c r="E5" s="1416"/>
      <c r="F5" s="1416"/>
      <c r="G5" s="1416"/>
      <c r="H5" s="1416"/>
      <c r="I5" s="1416"/>
      <c r="J5" s="1416"/>
      <c r="K5" s="1416"/>
      <c r="L5" s="1416"/>
      <c r="M5" s="574"/>
      <c r="P5" s="1417"/>
    </row>
    <row r="6" spans="1:16" ht="3" customHeight="1" x14ac:dyDescent="0.3">
      <c r="A6" s="1415"/>
      <c r="B6" s="509"/>
      <c r="M6" s="574"/>
    </row>
    <row r="7" spans="1:16" ht="46.2" customHeight="1" x14ac:dyDescent="0.3">
      <c r="B7" s="1416" t="s">
        <v>611</v>
      </c>
      <c r="C7" s="1416"/>
      <c r="D7" s="1416"/>
      <c r="E7" s="1416"/>
      <c r="F7" s="1416"/>
      <c r="G7" s="1416"/>
      <c r="H7" s="1416"/>
      <c r="I7" s="1416"/>
      <c r="J7" s="1416"/>
      <c r="K7" s="1416"/>
      <c r="L7" s="1416"/>
      <c r="M7" s="574"/>
    </row>
    <row r="8" spans="1:16" ht="3" customHeight="1" x14ac:dyDescent="0.3">
      <c r="A8" s="1415"/>
      <c r="B8" s="509"/>
      <c r="M8" s="574"/>
    </row>
    <row r="9" spans="1:16" ht="14.4" customHeight="1" x14ac:dyDescent="0.3">
      <c r="B9" s="1418" t="s">
        <v>376</v>
      </c>
      <c r="M9" s="574"/>
    </row>
    <row r="10" spans="1:16" ht="3" customHeight="1" thickBot="1" x14ac:dyDescent="0.35">
      <c r="B10" s="1418"/>
      <c r="M10" s="574"/>
    </row>
    <row r="11" spans="1:16" ht="15" thickBot="1" x14ac:dyDescent="0.35">
      <c r="B11" s="854" t="s">
        <v>333</v>
      </c>
      <c r="C11" s="855"/>
      <c r="D11" s="855"/>
      <c r="E11" s="855"/>
      <c r="F11" s="856"/>
      <c r="G11" s="752"/>
      <c r="H11" s="752"/>
      <c r="I11" s="752"/>
      <c r="M11" s="574"/>
    </row>
    <row r="12" spans="1:16" ht="15" thickBot="1" x14ac:dyDescent="0.35">
      <c r="B12" s="513" t="s">
        <v>0</v>
      </c>
      <c r="C12" s="734"/>
      <c r="D12" s="735"/>
      <c r="N12" s="574"/>
      <c r="O12" s="574"/>
      <c r="P12" s="574"/>
    </row>
    <row r="13" spans="1:16" ht="15" thickBot="1" x14ac:dyDescent="0.35">
      <c r="B13" s="851" t="s">
        <v>543</v>
      </c>
      <c r="C13" s="852"/>
      <c r="D13" s="853"/>
    </row>
    <row r="14" spans="1:16" ht="15" thickBot="1" x14ac:dyDescent="0.35">
      <c r="B14" s="835" t="s">
        <v>543</v>
      </c>
      <c r="C14" s="836"/>
      <c r="D14" s="837"/>
      <c r="E14" s="743"/>
      <c r="F14" s="743"/>
      <c r="G14" s="743"/>
    </row>
    <row r="15" spans="1:16" ht="15" thickBot="1" x14ac:dyDescent="0.35">
      <c r="B15" s="754"/>
      <c r="C15" s="754"/>
      <c r="D15" s="754"/>
      <c r="E15" s="743"/>
      <c r="F15" s="743"/>
      <c r="G15" s="743"/>
    </row>
    <row r="16" spans="1:16" ht="16.2" thickBot="1" x14ac:dyDescent="0.35">
      <c r="A16" s="826" t="s">
        <v>580</v>
      </c>
      <c r="B16" s="827"/>
      <c r="C16" s="827"/>
      <c r="D16" s="827"/>
      <c r="E16" s="827"/>
      <c r="F16" s="827"/>
      <c r="G16" s="827"/>
      <c r="H16" s="827"/>
      <c r="I16" s="827"/>
      <c r="J16" s="827"/>
      <c r="K16" s="827"/>
      <c r="L16" s="834"/>
      <c r="M16" s="1419"/>
      <c r="N16" s="1419"/>
      <c r="O16" s="1419"/>
      <c r="P16" s="1419"/>
    </row>
    <row r="17" spans="1:17" ht="15" thickBot="1" x14ac:dyDescent="0.35">
      <c r="A17" s="1420" t="s">
        <v>612</v>
      </c>
      <c r="B17" s="1421"/>
      <c r="C17" s="1421"/>
      <c r="D17" s="1421"/>
      <c r="E17" s="1421"/>
      <c r="F17" s="1421"/>
      <c r="G17" s="1421"/>
      <c r="H17" s="1421"/>
      <c r="I17" s="1421"/>
      <c r="J17" s="1421"/>
      <c r="K17" s="1421"/>
      <c r="L17" s="1422"/>
      <c r="M17" s="1423"/>
      <c r="N17" s="1423"/>
      <c r="O17" s="1423"/>
      <c r="P17" s="1423"/>
    </row>
    <row r="18" spans="1:17" x14ac:dyDescent="0.3">
      <c r="A18"/>
      <c r="B18" s="1424" t="s">
        <v>613</v>
      </c>
      <c r="C18" s="504" t="s">
        <v>614</v>
      </c>
    </row>
    <row r="19" spans="1:17" ht="14.7" customHeight="1" x14ac:dyDescent="0.3">
      <c r="A19"/>
      <c r="B19" s="1424" t="s">
        <v>615</v>
      </c>
      <c r="C19" s="504" t="s">
        <v>616</v>
      </c>
    </row>
    <row r="20" spans="1:17" ht="14.7" customHeight="1" x14ac:dyDescent="0.3">
      <c r="A20"/>
      <c r="B20" s="1424" t="s">
        <v>617</v>
      </c>
      <c r="C20" s="504" t="s">
        <v>618</v>
      </c>
    </row>
    <row r="21" spans="1:17" ht="14.7" customHeight="1" thickBot="1" x14ac:dyDescent="0.35">
      <c r="A21"/>
      <c r="B21" s="1424"/>
    </row>
    <row r="22" spans="1:17" ht="15" thickBot="1" x14ac:dyDescent="0.35">
      <c r="A22" s="1420" t="s">
        <v>619</v>
      </c>
      <c r="B22" s="1421"/>
      <c r="C22" s="1421"/>
      <c r="D22" s="1421"/>
      <c r="E22" s="1421"/>
      <c r="F22" s="1421"/>
      <c r="G22" s="1421"/>
      <c r="H22" s="1421"/>
      <c r="I22" s="1421"/>
      <c r="J22" s="1421"/>
      <c r="K22" s="1421"/>
      <c r="L22" s="1422"/>
      <c r="M22" s="1423"/>
      <c r="N22" s="1423"/>
      <c r="O22" s="1423"/>
      <c r="P22" s="1423"/>
    </row>
    <row r="23" spans="1:17" ht="14.7" customHeight="1" x14ac:dyDescent="0.3">
      <c r="B23" s="512" t="s">
        <v>620</v>
      </c>
      <c r="C23" s="510" t="s">
        <v>621</v>
      </c>
      <c r="D23" s="510"/>
      <c r="E23" s="510"/>
      <c r="F23" s="510"/>
      <c r="G23" s="510"/>
      <c r="H23" s="510"/>
      <c r="I23" s="510"/>
    </row>
    <row r="24" spans="1:17" ht="14.7" customHeight="1" x14ac:dyDescent="0.3">
      <c r="B24" s="512" t="s">
        <v>622</v>
      </c>
      <c r="C24" s="1425">
        <v>46096</v>
      </c>
      <c r="D24" s="510"/>
      <c r="E24" s="510"/>
      <c r="F24" s="510"/>
      <c r="G24" s="510"/>
      <c r="H24" s="510"/>
    </row>
    <row r="25" spans="1:17" ht="15" thickBot="1" x14ac:dyDescent="0.35"/>
    <row r="26" spans="1:17" ht="15" thickBot="1" x14ac:dyDescent="0.35">
      <c r="A26" s="1420" t="s">
        <v>623</v>
      </c>
      <c r="B26" s="1421"/>
      <c r="C26" s="1421"/>
      <c r="D26" s="1421"/>
      <c r="E26" s="1421"/>
      <c r="F26" s="1421"/>
      <c r="G26" s="1421"/>
      <c r="H26" s="1421"/>
      <c r="I26" s="1421"/>
      <c r="J26" s="1421"/>
      <c r="K26" s="1421"/>
      <c r="L26" s="1422"/>
      <c r="M26" s="1423"/>
      <c r="N26" s="1423"/>
      <c r="O26" s="1423"/>
      <c r="P26" s="1423"/>
    </row>
    <row r="27" spans="1:17" ht="14.7" customHeight="1" x14ac:dyDescent="0.3">
      <c r="B27" s="517" t="s">
        <v>620</v>
      </c>
      <c r="C27" s="504" t="s">
        <v>624</v>
      </c>
    </row>
    <row r="28" spans="1:17" ht="43.8" customHeight="1" x14ac:dyDescent="0.3">
      <c r="B28" s="517" t="s">
        <v>625</v>
      </c>
      <c r="C28" s="1426" t="s">
        <v>626</v>
      </c>
      <c r="D28" s="1426"/>
      <c r="E28" s="1426"/>
      <c r="F28" s="1426"/>
      <c r="G28" s="1426"/>
      <c r="H28" s="1426"/>
      <c r="I28" s="1426"/>
      <c r="J28" s="1426"/>
      <c r="K28" s="1426"/>
      <c r="L28" s="1426"/>
    </row>
    <row r="29" spans="1:17" ht="14.7" customHeight="1" x14ac:dyDescent="0.3">
      <c r="B29" s="517" t="s">
        <v>622</v>
      </c>
      <c r="C29" s="510" t="s">
        <v>627</v>
      </c>
      <c r="I29" s="518"/>
      <c r="Q29" s="510" t="s">
        <v>2</v>
      </c>
    </row>
    <row r="30" spans="1:17" ht="14.7" customHeight="1" x14ac:dyDescent="0.3">
      <c r="B30" s="510"/>
      <c r="C30" s="510" t="s">
        <v>628</v>
      </c>
      <c r="I30" s="518"/>
      <c r="Q30" s="510"/>
    </row>
    <row r="31" spans="1:17" ht="14.7" customHeight="1" thickBot="1" x14ac:dyDescent="0.35">
      <c r="B31" s="510"/>
      <c r="I31" s="515"/>
      <c r="J31" s="518"/>
      <c r="Q31" s="510"/>
    </row>
    <row r="32" spans="1:17" ht="15" thickBot="1" x14ac:dyDescent="0.35">
      <c r="A32" s="1420" t="s">
        <v>629</v>
      </c>
      <c r="B32" s="1421"/>
      <c r="C32" s="1421"/>
      <c r="D32" s="1421"/>
      <c r="E32" s="1421"/>
      <c r="F32" s="1421"/>
      <c r="G32" s="1421"/>
      <c r="H32" s="1421"/>
      <c r="I32" s="1421"/>
      <c r="J32" s="1421"/>
      <c r="K32" s="1421"/>
      <c r="L32" s="1422"/>
      <c r="M32" s="1423"/>
      <c r="N32" s="1423"/>
      <c r="O32" s="1423"/>
      <c r="P32" s="1423"/>
    </row>
    <row r="33" spans="1:17" ht="14.7" customHeight="1" x14ac:dyDescent="0.3">
      <c r="B33" s="517" t="s">
        <v>620</v>
      </c>
      <c r="C33" s="504" t="s">
        <v>630</v>
      </c>
    </row>
    <row r="34" spans="1:17" ht="14.7" customHeight="1" x14ac:dyDescent="0.3">
      <c r="B34" s="512" t="s">
        <v>622</v>
      </c>
      <c r="C34" s="1425">
        <v>46047</v>
      </c>
      <c r="I34" s="518"/>
      <c r="Q34" s="510" t="s">
        <v>2</v>
      </c>
    </row>
    <row r="35" spans="1:17" ht="14.7" customHeight="1" thickBot="1" x14ac:dyDescent="0.35">
      <c r="B35" s="510"/>
      <c r="C35" s="510"/>
      <c r="I35" s="518"/>
      <c r="Q35" s="510"/>
    </row>
    <row r="36" spans="1:17" ht="15" thickBot="1" x14ac:dyDescent="0.35">
      <c r="A36" s="1420" t="s">
        <v>631</v>
      </c>
      <c r="B36" s="1421"/>
      <c r="C36" s="1421"/>
      <c r="D36" s="1421"/>
      <c r="E36" s="1421"/>
      <c r="F36" s="1421"/>
      <c r="G36" s="1421"/>
      <c r="H36" s="1421"/>
      <c r="I36" s="1421"/>
      <c r="J36" s="1421"/>
      <c r="K36" s="1421"/>
      <c r="L36" s="1422"/>
      <c r="M36" s="1423"/>
      <c r="N36" s="1423"/>
      <c r="O36" s="1423"/>
      <c r="P36" s="1423"/>
    </row>
    <row r="37" spans="1:17" ht="14.7" customHeight="1" x14ac:dyDescent="0.3">
      <c r="B37" s="517" t="s">
        <v>620</v>
      </c>
      <c r="C37" s="504" t="s">
        <v>632</v>
      </c>
    </row>
    <row r="38" spans="1:17" ht="14.7" customHeight="1" thickBot="1" x14ac:dyDescent="0.35">
      <c r="B38" s="512"/>
      <c r="C38" s="1425"/>
      <c r="I38" s="518"/>
      <c r="Q38" s="510" t="s">
        <v>2</v>
      </c>
    </row>
    <row r="39" spans="1:17" ht="15" thickBot="1" x14ac:dyDescent="0.35">
      <c r="A39" s="1420" t="s">
        <v>633</v>
      </c>
      <c r="B39" s="1421"/>
      <c r="C39" s="1421"/>
      <c r="D39" s="1421"/>
      <c r="E39" s="1421"/>
      <c r="F39" s="1421"/>
      <c r="G39" s="1421"/>
      <c r="H39" s="1421"/>
      <c r="I39" s="1421"/>
      <c r="J39" s="1421"/>
      <c r="K39" s="1421"/>
      <c r="L39" s="1422"/>
      <c r="M39" s="1423"/>
      <c r="N39" s="1423"/>
      <c r="O39" s="1423"/>
      <c r="P39" s="1423"/>
    </row>
    <row r="40" spans="1:17" ht="14.7" customHeight="1" x14ac:dyDescent="0.3">
      <c r="B40" s="517" t="s">
        <v>620</v>
      </c>
      <c r="C40" s="504" t="s">
        <v>634</v>
      </c>
    </row>
    <row r="41" spans="1:17" ht="14.7" customHeight="1" x14ac:dyDescent="0.3">
      <c r="B41" s="517" t="s">
        <v>625</v>
      </c>
      <c r="C41" s="504" t="s">
        <v>635</v>
      </c>
    </row>
    <row r="42" spans="1:17" ht="14.7" customHeight="1" x14ac:dyDescent="0.3">
      <c r="B42" s="517"/>
      <c r="C42" s="504" t="s">
        <v>636</v>
      </c>
    </row>
    <row r="43" spans="1:17" ht="14.7" customHeight="1" x14ac:dyDescent="0.3">
      <c r="B43" s="510"/>
      <c r="C43" s="504" t="s">
        <v>637</v>
      </c>
      <c r="I43" s="515"/>
      <c r="J43" s="518"/>
      <c r="Q43" s="510"/>
    </row>
    <row r="44" spans="1:17" ht="14.7" customHeight="1" thickBot="1" x14ac:dyDescent="0.35">
      <c r="B44" s="510"/>
      <c r="I44" s="515"/>
      <c r="J44" s="518"/>
      <c r="Q44" s="510"/>
    </row>
    <row r="45" spans="1:17" ht="15" thickBot="1" x14ac:dyDescent="0.35">
      <c r="A45" s="1420" t="s">
        <v>638</v>
      </c>
      <c r="B45" s="1421"/>
      <c r="C45" s="1421"/>
      <c r="D45" s="1421"/>
      <c r="E45" s="1421"/>
      <c r="F45" s="1421"/>
      <c r="G45" s="1421"/>
      <c r="H45" s="1421"/>
      <c r="I45" s="1421"/>
      <c r="J45" s="1421"/>
      <c r="K45" s="1421"/>
      <c r="L45" s="1422"/>
      <c r="M45" s="1423"/>
      <c r="N45" s="1423"/>
      <c r="O45" s="1423"/>
      <c r="P45" s="1423"/>
    </row>
    <row r="46" spans="1:17" ht="14.7" customHeight="1" x14ac:dyDescent="0.3">
      <c r="B46" s="517" t="s">
        <v>620</v>
      </c>
      <c r="C46" s="504" t="s">
        <v>634</v>
      </c>
    </row>
    <row r="47" spans="1:17" ht="14.7" customHeight="1" x14ac:dyDescent="0.3">
      <c r="B47" s="512" t="s">
        <v>617</v>
      </c>
      <c r="C47" s="1425" t="s">
        <v>639</v>
      </c>
      <c r="I47" s="518"/>
      <c r="Q47" s="510" t="s">
        <v>2</v>
      </c>
    </row>
    <row r="48" spans="1:17" ht="14.7" customHeight="1" x14ac:dyDescent="0.3">
      <c r="B48" s="512" t="s">
        <v>622</v>
      </c>
      <c r="C48" s="1427" t="s">
        <v>640</v>
      </c>
      <c r="I48" s="518"/>
      <c r="Q48" s="510"/>
    </row>
    <row r="49" spans="1:17" ht="14.7" customHeight="1" x14ac:dyDescent="0.3">
      <c r="B49" s="512"/>
      <c r="C49" s="1427" t="s">
        <v>641</v>
      </c>
      <c r="I49" s="518"/>
      <c r="Q49" s="510"/>
    </row>
    <row r="50" spans="1:17" ht="14.7" customHeight="1" x14ac:dyDescent="0.3">
      <c r="B50" s="512"/>
      <c r="C50" s="1427" t="s">
        <v>642</v>
      </c>
      <c r="I50" s="518"/>
      <c r="Q50" s="510"/>
    </row>
    <row r="51" spans="1:17" ht="14.7" customHeight="1" x14ac:dyDescent="0.3">
      <c r="B51" s="512"/>
      <c r="C51" s="1427" t="s">
        <v>643</v>
      </c>
      <c r="I51" s="518"/>
      <c r="Q51" s="510"/>
    </row>
    <row r="52" spans="1:17" ht="14.7" customHeight="1" x14ac:dyDescent="0.3">
      <c r="B52" s="512"/>
      <c r="C52" s="1427" t="s">
        <v>644</v>
      </c>
      <c r="I52" s="518"/>
      <c r="Q52" s="510"/>
    </row>
    <row r="53" spans="1:17" ht="14.7" customHeight="1" x14ac:dyDescent="0.3">
      <c r="B53" s="512"/>
      <c r="C53" s="1427" t="s">
        <v>645</v>
      </c>
      <c r="I53" s="518"/>
      <c r="Q53" s="510"/>
    </row>
    <row r="54" spans="1:17" ht="14.7" customHeight="1" x14ac:dyDescent="0.3">
      <c r="B54" s="512"/>
      <c r="C54" s="1427" t="s">
        <v>646</v>
      </c>
      <c r="I54" s="518"/>
      <c r="Q54" s="510"/>
    </row>
    <row r="55" spans="1:17" ht="14.7" customHeight="1" thickBot="1" x14ac:dyDescent="0.35">
      <c r="B55" s="510"/>
      <c r="C55" s="510"/>
      <c r="I55" s="518"/>
      <c r="Q55" s="510"/>
    </row>
    <row r="56" spans="1:17" ht="15" thickBot="1" x14ac:dyDescent="0.35">
      <c r="A56" s="1420" t="s">
        <v>647</v>
      </c>
      <c r="B56" s="1421"/>
      <c r="C56" s="1421"/>
      <c r="D56" s="1421"/>
      <c r="E56" s="1421"/>
      <c r="F56" s="1421"/>
      <c r="G56" s="1421"/>
      <c r="H56" s="1421"/>
      <c r="I56" s="1421"/>
      <c r="J56" s="1421"/>
      <c r="K56" s="1421"/>
      <c r="L56" s="1422"/>
      <c r="M56" s="1423"/>
      <c r="N56" s="1423"/>
      <c r="O56" s="1423"/>
      <c r="P56" s="1423"/>
    </row>
    <row r="57" spans="1:17" ht="14.7" customHeight="1" x14ac:dyDescent="0.3">
      <c r="B57" s="517" t="s">
        <v>620</v>
      </c>
      <c r="C57" s="504" t="s">
        <v>634</v>
      </c>
    </row>
    <row r="58" spans="1:17" ht="14.7" customHeight="1" x14ac:dyDescent="0.3">
      <c r="B58" s="512" t="s">
        <v>617</v>
      </c>
      <c r="C58" s="1425" t="s">
        <v>648</v>
      </c>
      <c r="I58" s="518"/>
      <c r="Q58" s="510" t="s">
        <v>2</v>
      </c>
    </row>
    <row r="59" spans="1:17" ht="14.7" customHeight="1" thickBot="1" x14ac:dyDescent="0.35">
      <c r="B59" s="510"/>
      <c r="C59" s="510"/>
      <c r="I59" s="518"/>
      <c r="Q59" s="510"/>
    </row>
    <row r="60" spans="1:17" ht="15" thickBot="1" x14ac:dyDescent="0.35">
      <c r="A60" s="1420" t="s">
        <v>649</v>
      </c>
      <c r="B60" s="1421"/>
      <c r="C60" s="1421"/>
      <c r="D60" s="1421"/>
      <c r="E60" s="1421"/>
      <c r="F60" s="1421"/>
      <c r="G60" s="1421"/>
      <c r="H60" s="1421"/>
      <c r="I60" s="1421"/>
      <c r="J60" s="1421"/>
      <c r="K60" s="1421"/>
      <c r="L60" s="1422"/>
      <c r="M60" s="1423"/>
      <c r="N60" s="1423"/>
      <c r="O60" s="1423"/>
      <c r="P60" s="1423"/>
    </row>
    <row r="61" spans="1:17" ht="15" thickBot="1" x14ac:dyDescent="0.35">
      <c r="B61" s="1428" t="s">
        <v>650</v>
      </c>
      <c r="C61" s="1429"/>
      <c r="D61" s="1429"/>
      <c r="E61" s="1429"/>
      <c r="F61" s="1429"/>
      <c r="G61" s="1429"/>
      <c r="H61" s="1429"/>
      <c r="I61" s="1429"/>
      <c r="J61" s="1429"/>
      <c r="K61" s="1429"/>
      <c r="L61" s="1429"/>
      <c r="M61" s="1423"/>
      <c r="N61" s="1423"/>
      <c r="O61" s="1423"/>
      <c r="P61" s="1423"/>
    </row>
    <row r="62" spans="1:17" ht="14.7" customHeight="1" x14ac:dyDescent="0.3">
      <c r="B62" s="517" t="s">
        <v>620</v>
      </c>
      <c r="C62" s="504" t="s">
        <v>651</v>
      </c>
    </row>
    <row r="63" spans="1:17" ht="14.7" customHeight="1" x14ac:dyDescent="0.3">
      <c r="B63" s="512" t="s">
        <v>622</v>
      </c>
      <c r="C63" s="1425" t="s">
        <v>652</v>
      </c>
      <c r="I63" s="518"/>
      <c r="Q63" s="510" t="s">
        <v>2</v>
      </c>
    </row>
    <row r="64" spans="1:17" ht="14.7" customHeight="1" x14ac:dyDescent="0.3">
      <c r="B64" s="512"/>
      <c r="C64" s="1425"/>
      <c r="I64" s="518"/>
      <c r="Q64" s="510"/>
    </row>
    <row r="65" spans="2:17" ht="14.7" customHeight="1" thickBot="1" x14ac:dyDescent="0.35">
      <c r="B65" s="1430" t="s">
        <v>653</v>
      </c>
      <c r="C65" s="1431"/>
      <c r="D65" s="1431"/>
      <c r="E65" s="1431"/>
      <c r="F65" s="1431"/>
      <c r="G65" s="1431"/>
      <c r="H65" s="1431"/>
      <c r="I65" s="1431"/>
      <c r="J65" s="1431"/>
      <c r="K65" s="1431"/>
      <c r="L65" s="1431"/>
      <c r="Q65" s="510"/>
    </row>
    <row r="66" spans="2:17" ht="14.7" customHeight="1" x14ac:dyDescent="0.3">
      <c r="B66" s="512" t="s">
        <v>620</v>
      </c>
      <c r="C66" s="1425" t="s">
        <v>654</v>
      </c>
      <c r="I66" s="518"/>
      <c r="Q66" s="510"/>
    </row>
    <row r="67" spans="2:17" ht="14.7" customHeight="1" x14ac:dyDescent="0.3">
      <c r="B67" s="512" t="s">
        <v>622</v>
      </c>
      <c r="C67" s="1425" t="s">
        <v>655</v>
      </c>
      <c r="I67" s="518"/>
      <c r="Q67" s="510"/>
    </row>
    <row r="68" spans="2:17" ht="14.7" customHeight="1" x14ac:dyDescent="0.3">
      <c r="B68" s="512"/>
      <c r="C68" s="1425"/>
      <c r="I68" s="518"/>
      <c r="Q68" s="510"/>
    </row>
    <row r="69" spans="2:17" ht="14.7" customHeight="1" thickBot="1" x14ac:dyDescent="0.35">
      <c r="B69" s="1430" t="s">
        <v>656</v>
      </c>
      <c r="C69" s="1431"/>
      <c r="D69" s="1431"/>
      <c r="E69" s="1431"/>
      <c r="F69" s="1431"/>
      <c r="G69" s="1431"/>
      <c r="H69" s="1431"/>
      <c r="I69" s="1431"/>
      <c r="J69" s="1431"/>
      <c r="K69" s="1431"/>
      <c r="L69" s="1431"/>
      <c r="Q69" s="510"/>
    </row>
    <row r="70" spans="2:17" ht="14.7" customHeight="1" x14ac:dyDescent="0.3">
      <c r="B70" s="512" t="s">
        <v>620</v>
      </c>
      <c r="C70" s="1425" t="s">
        <v>657</v>
      </c>
      <c r="I70" s="518"/>
      <c r="Q70" s="510"/>
    </row>
    <row r="71" spans="2:17" ht="14.7" customHeight="1" x14ac:dyDescent="0.3">
      <c r="B71" s="512" t="s">
        <v>622</v>
      </c>
      <c r="C71" s="1425" t="s">
        <v>658</v>
      </c>
      <c r="I71" s="518"/>
      <c r="Q71" s="510"/>
    </row>
    <row r="72" spans="2:17" ht="14.7" customHeight="1" x14ac:dyDescent="0.3">
      <c r="B72" s="512"/>
      <c r="C72" s="1425"/>
      <c r="I72" s="518"/>
      <c r="Q72" s="510"/>
    </row>
    <row r="73" spans="2:17" ht="14.7" customHeight="1" thickBot="1" x14ac:dyDescent="0.35">
      <c r="B73" s="1430" t="s">
        <v>659</v>
      </c>
      <c r="C73" s="1431"/>
      <c r="D73" s="1431"/>
      <c r="E73" s="1431"/>
      <c r="F73" s="1431"/>
      <c r="G73" s="1431"/>
      <c r="H73" s="1431"/>
      <c r="I73" s="1431"/>
      <c r="J73" s="1431"/>
      <c r="K73" s="1431"/>
      <c r="L73" s="1431"/>
      <c r="Q73" s="510"/>
    </row>
    <row r="74" spans="2:17" ht="14.7" customHeight="1" x14ac:dyDescent="0.3">
      <c r="B74" s="512" t="s">
        <v>620</v>
      </c>
      <c r="C74" s="1425" t="s">
        <v>660</v>
      </c>
      <c r="I74" s="518"/>
      <c r="Q74" s="510"/>
    </row>
    <row r="75" spans="2:17" ht="14.7" customHeight="1" x14ac:dyDescent="0.3">
      <c r="B75" s="512" t="s">
        <v>622</v>
      </c>
      <c r="C75" t="s">
        <v>661</v>
      </c>
      <c r="I75" s="518"/>
      <c r="Q75" s="510"/>
    </row>
    <row r="76" spans="2:17" ht="14.7" customHeight="1" x14ac:dyDescent="0.3">
      <c r="B76" s="512"/>
      <c r="C76" s="1425"/>
      <c r="I76" s="518"/>
      <c r="Q76" s="510"/>
    </row>
    <row r="77" spans="2:17" ht="14.7" customHeight="1" thickBot="1" x14ac:dyDescent="0.35">
      <c r="B77" s="1430" t="s">
        <v>662</v>
      </c>
      <c r="C77" s="1431"/>
      <c r="D77" s="1431"/>
      <c r="E77" s="1431"/>
      <c r="F77" s="1431"/>
      <c r="G77" s="1431"/>
      <c r="H77" s="1431"/>
      <c r="I77" s="1431"/>
      <c r="J77" s="1431"/>
      <c r="K77" s="1431"/>
      <c r="L77" s="1431"/>
      <c r="Q77" s="510"/>
    </row>
    <row r="78" spans="2:17" ht="14.7" customHeight="1" x14ac:dyDescent="0.3">
      <c r="B78" s="512" t="s">
        <v>620</v>
      </c>
      <c r="C78" s="1425" t="s">
        <v>663</v>
      </c>
      <c r="I78" s="518"/>
      <c r="Q78" s="510"/>
    </row>
    <row r="79" spans="2:17" ht="14.7" customHeight="1" x14ac:dyDescent="0.3">
      <c r="B79" s="512" t="s">
        <v>622</v>
      </c>
      <c r="C79" t="s">
        <v>664</v>
      </c>
      <c r="I79" s="518"/>
      <c r="Q79" s="510"/>
    </row>
    <row r="80" spans="2:17" ht="14.7" customHeight="1" x14ac:dyDescent="0.3">
      <c r="B80" s="512"/>
      <c r="C80" s="1425"/>
      <c r="I80" s="518"/>
      <c r="Q80" s="510"/>
    </row>
    <row r="81" spans="1:17" ht="14.7" customHeight="1" thickBot="1" x14ac:dyDescent="0.35">
      <c r="B81" s="1430" t="s">
        <v>665</v>
      </c>
      <c r="C81" s="1431"/>
      <c r="D81" s="1431"/>
      <c r="E81" s="1431"/>
      <c r="F81" s="1431"/>
      <c r="G81" s="1431"/>
      <c r="H81" s="1431"/>
      <c r="I81" s="1431"/>
      <c r="J81" s="1431"/>
      <c r="K81" s="1431"/>
      <c r="L81" s="1431"/>
      <c r="Q81" s="510"/>
    </row>
    <row r="82" spans="1:17" ht="14.7" customHeight="1" x14ac:dyDescent="0.3">
      <c r="B82" s="512" t="s">
        <v>620</v>
      </c>
      <c r="C82" s="1425" t="s">
        <v>666</v>
      </c>
      <c r="I82" s="518"/>
      <c r="Q82" s="510"/>
    </row>
    <row r="83" spans="1:17" ht="14.7" customHeight="1" x14ac:dyDescent="0.3">
      <c r="B83" s="512" t="s">
        <v>622</v>
      </c>
      <c r="C83" t="s">
        <v>667</v>
      </c>
      <c r="I83" s="518"/>
      <c r="Q83" s="510"/>
    </row>
    <row r="84" spans="1:17" ht="14.7" customHeight="1" x14ac:dyDescent="0.3">
      <c r="B84" s="512"/>
      <c r="C84" s="1425"/>
      <c r="I84" s="518"/>
      <c r="Q84" s="510"/>
    </row>
    <row r="85" spans="1:17" ht="14.7" customHeight="1" thickBot="1" x14ac:dyDescent="0.35">
      <c r="B85" s="1430" t="s">
        <v>668</v>
      </c>
      <c r="C85" s="1431"/>
      <c r="D85" s="1431"/>
      <c r="E85" s="1431"/>
      <c r="F85" s="1431"/>
      <c r="G85" s="1431"/>
      <c r="H85" s="1431"/>
      <c r="I85" s="1431"/>
      <c r="J85" s="1431"/>
      <c r="K85" s="1431"/>
      <c r="L85" s="1431"/>
      <c r="Q85" s="510"/>
    </row>
    <row r="86" spans="1:17" ht="14.7" customHeight="1" x14ac:dyDescent="0.3">
      <c r="B86" s="512" t="s">
        <v>620</v>
      </c>
      <c r="C86" s="1425" t="s">
        <v>669</v>
      </c>
      <c r="I86" s="518"/>
      <c r="Q86" s="510"/>
    </row>
    <row r="87" spans="1:17" ht="14.7" customHeight="1" x14ac:dyDescent="0.3">
      <c r="B87" s="512" t="s">
        <v>622</v>
      </c>
      <c r="C87" t="s">
        <v>670</v>
      </c>
      <c r="I87" s="518"/>
      <c r="Q87" s="510"/>
    </row>
    <row r="88" spans="1:17" ht="14.7" customHeight="1" x14ac:dyDescent="0.3">
      <c r="B88" s="512"/>
      <c r="C88" s="1425"/>
      <c r="I88" s="518"/>
      <c r="Q88" s="510"/>
    </row>
    <row r="89" spans="1:17" ht="14.7" customHeight="1" thickBot="1" x14ac:dyDescent="0.35">
      <c r="B89" s="1430" t="s">
        <v>671</v>
      </c>
      <c r="C89" s="1431"/>
      <c r="D89" s="1431"/>
      <c r="E89" s="1431"/>
      <c r="F89" s="1431"/>
      <c r="G89" s="1431"/>
      <c r="H89" s="1431"/>
      <c r="I89" s="1431"/>
      <c r="J89" s="1431"/>
      <c r="K89" s="1431"/>
      <c r="L89" s="1431"/>
      <c r="Q89" s="510"/>
    </row>
    <row r="90" spans="1:17" ht="14.7" customHeight="1" x14ac:dyDescent="0.3">
      <c r="B90" s="512" t="s">
        <v>620</v>
      </c>
      <c r="C90" s="1425" t="s">
        <v>672</v>
      </c>
      <c r="I90" s="518"/>
      <c r="Q90" s="510"/>
    </row>
    <row r="91" spans="1:17" ht="14.7" customHeight="1" x14ac:dyDescent="0.3">
      <c r="B91" s="512"/>
      <c r="C91" s="1425" t="s">
        <v>673</v>
      </c>
      <c r="I91" s="518"/>
      <c r="Q91" s="510"/>
    </row>
    <row r="92" spans="1:17" ht="14.7" customHeight="1" x14ac:dyDescent="0.3">
      <c r="B92" s="512" t="s">
        <v>622</v>
      </c>
      <c r="C92" s="1425" t="s">
        <v>674</v>
      </c>
      <c r="I92" s="518"/>
      <c r="Q92" s="510"/>
    </row>
    <row r="93" spans="1:17" ht="14.7" customHeight="1" x14ac:dyDescent="0.3">
      <c r="B93" s="512"/>
      <c r="C93"/>
      <c r="D93" s="504" t="s">
        <v>675</v>
      </c>
      <c r="I93" s="518"/>
      <c r="Q93" s="510"/>
    </row>
    <row r="94" spans="1:17" ht="14.7" customHeight="1" x14ac:dyDescent="0.3">
      <c r="B94" s="512"/>
      <c r="C94" s="1425" t="s">
        <v>676</v>
      </c>
      <c r="I94" s="518"/>
      <c r="Q94" s="510"/>
    </row>
    <row r="95" spans="1:17" ht="14.7" customHeight="1" thickBot="1" x14ac:dyDescent="0.35">
      <c r="B95" s="510"/>
      <c r="I95" s="515"/>
      <c r="J95" s="518"/>
      <c r="Q95" s="510"/>
    </row>
    <row r="96" spans="1:17" ht="15" thickBot="1" x14ac:dyDescent="0.35">
      <c r="A96" s="1420" t="s">
        <v>677</v>
      </c>
      <c r="B96" s="1421"/>
      <c r="C96" s="1421"/>
      <c r="D96" s="1421"/>
      <c r="E96" s="1421"/>
      <c r="F96" s="1421"/>
      <c r="G96" s="1421"/>
      <c r="H96" s="1421"/>
      <c r="I96" s="1421"/>
      <c r="J96" s="1421"/>
      <c r="K96" s="1421"/>
      <c r="L96" s="1422"/>
      <c r="M96" s="1423"/>
      <c r="N96" s="1423"/>
      <c r="O96" s="1423"/>
      <c r="P96" s="1423"/>
    </row>
    <row r="97" spans="1:12" ht="30" customHeight="1" x14ac:dyDescent="0.3">
      <c r="A97" s="1432" t="s">
        <v>678</v>
      </c>
      <c r="B97" s="1432"/>
      <c r="C97" s="1432"/>
      <c r="D97" s="1432"/>
      <c r="E97" s="1432"/>
      <c r="F97" s="1432"/>
      <c r="G97" s="1432"/>
      <c r="H97" s="1432"/>
      <c r="I97" s="1432"/>
      <c r="J97" s="1432"/>
      <c r="K97" s="1432"/>
      <c r="L97" s="1432"/>
    </row>
    <row r="98" spans="1:12" ht="14.7" customHeight="1" thickBot="1" x14ac:dyDescent="0.35">
      <c r="B98" s="1430" t="s">
        <v>679</v>
      </c>
      <c r="C98" s="1431"/>
      <c r="D98" s="1431"/>
      <c r="E98" s="1431"/>
      <c r="F98" s="1431"/>
      <c r="G98" s="1431"/>
      <c r="H98" s="1431"/>
      <c r="I98" s="1431"/>
      <c r="J98" s="1431"/>
      <c r="K98" s="1431"/>
      <c r="L98" s="1431"/>
    </row>
    <row r="99" spans="1:12" ht="14.7" customHeight="1" x14ac:dyDescent="0.3">
      <c r="B99" s="517" t="s">
        <v>620</v>
      </c>
      <c r="C99" s="504" t="s">
        <v>680</v>
      </c>
    </row>
    <row r="100" spans="1:12" ht="14.7" customHeight="1" x14ac:dyDescent="0.3">
      <c r="B100" s="512" t="s">
        <v>622</v>
      </c>
      <c r="C100" s="1425" t="s">
        <v>681</v>
      </c>
      <c r="I100" s="518"/>
    </row>
    <row r="101" spans="1:12" ht="28.8" customHeight="1" x14ac:dyDescent="0.3">
      <c r="B101" s="512" t="s">
        <v>682</v>
      </c>
      <c r="C101" s="1433" t="s">
        <v>683</v>
      </c>
      <c r="D101" s="1433"/>
      <c r="E101" s="1433"/>
      <c r="F101" s="1433"/>
      <c r="G101" s="1433"/>
      <c r="H101" s="1433"/>
      <c r="I101" s="1433"/>
      <c r="J101" s="1433"/>
      <c r="K101" s="1433"/>
      <c r="L101" s="1433"/>
    </row>
    <row r="102" spans="1:12" ht="14.7" customHeight="1" x14ac:dyDescent="0.3">
      <c r="A102" s="504" t="s">
        <v>2</v>
      </c>
      <c r="B102" s="512"/>
      <c r="C102" s="1425"/>
      <c r="H102" s="1434"/>
      <c r="I102" s="518"/>
    </row>
    <row r="103" spans="1:12" ht="14.7" customHeight="1" thickBot="1" x14ac:dyDescent="0.35">
      <c r="B103" s="1430" t="s">
        <v>684</v>
      </c>
      <c r="C103" s="1431"/>
      <c r="D103" s="1431"/>
      <c r="E103" s="1431"/>
      <c r="F103" s="1431"/>
      <c r="G103" s="1431"/>
      <c r="H103" s="1431"/>
      <c r="I103" s="1431"/>
      <c r="J103" s="1431"/>
      <c r="K103" s="1431"/>
      <c r="L103" s="1431"/>
    </row>
    <row r="104" spans="1:12" ht="14.7" customHeight="1" x14ac:dyDescent="0.3">
      <c r="B104" s="512" t="s">
        <v>620</v>
      </c>
      <c r="C104" s="1425" t="s">
        <v>685</v>
      </c>
      <c r="I104" s="518"/>
    </row>
    <row r="105" spans="1:12" ht="14.7" customHeight="1" x14ac:dyDescent="0.3">
      <c r="B105" s="512" t="s">
        <v>622</v>
      </c>
      <c r="C105" s="1435">
        <v>0.27100000000000002</v>
      </c>
      <c r="I105" s="518"/>
    </row>
    <row r="106" spans="1:12" ht="14.7" customHeight="1" x14ac:dyDescent="0.3">
      <c r="B106" s="512" t="s">
        <v>682</v>
      </c>
      <c r="C106" s="1435" t="s">
        <v>686</v>
      </c>
      <c r="I106" s="518"/>
    </row>
    <row r="107" spans="1:12" ht="14.7" customHeight="1" x14ac:dyDescent="0.3">
      <c r="B107" s="512"/>
      <c r="C107" s="1425" t="s">
        <v>687</v>
      </c>
      <c r="I107" s="518"/>
    </row>
    <row r="108" spans="1:12" ht="14.7" customHeight="1" x14ac:dyDescent="0.3">
      <c r="B108" s="512"/>
      <c r="C108" s="1425"/>
      <c r="I108" s="518"/>
    </row>
    <row r="109" spans="1:12" ht="14.7" customHeight="1" thickBot="1" x14ac:dyDescent="0.35">
      <c r="B109" s="1430" t="s">
        <v>688</v>
      </c>
      <c r="C109" s="1431"/>
      <c r="D109" s="1431"/>
      <c r="E109" s="1431"/>
      <c r="F109" s="1431"/>
      <c r="G109" s="1431"/>
      <c r="H109" s="1431"/>
      <c r="I109" s="1431"/>
      <c r="J109" s="1431"/>
      <c r="K109" s="1431"/>
      <c r="L109" s="1431"/>
    </row>
    <row r="110" spans="1:12" ht="14.7" customHeight="1" x14ac:dyDescent="0.3">
      <c r="B110" s="512" t="s">
        <v>620</v>
      </c>
      <c r="C110" s="1425" t="s">
        <v>657</v>
      </c>
      <c r="I110" s="518"/>
    </row>
    <row r="111" spans="1:12" ht="14.7" customHeight="1" x14ac:dyDescent="0.3">
      <c r="B111" s="512" t="s">
        <v>622</v>
      </c>
      <c r="C111" s="1425" t="s">
        <v>689</v>
      </c>
      <c r="I111" s="518"/>
    </row>
    <row r="112" spans="1:12" ht="14.7" customHeight="1" x14ac:dyDescent="0.3">
      <c r="B112" s="517"/>
    </row>
    <row r="113" spans="1:17" ht="14.7" customHeight="1" thickBot="1" x14ac:dyDescent="0.35">
      <c r="B113" s="1430" t="s">
        <v>690</v>
      </c>
      <c r="C113" s="1431"/>
      <c r="D113" s="1431"/>
      <c r="E113" s="1431"/>
      <c r="F113" s="1431"/>
      <c r="G113" s="1431"/>
      <c r="H113" s="1431"/>
      <c r="I113" s="1431"/>
      <c r="J113" s="1431"/>
      <c r="K113" s="1431"/>
      <c r="L113" s="1431"/>
    </row>
    <row r="114" spans="1:17" ht="14.7" customHeight="1" x14ac:dyDescent="0.3">
      <c r="B114" s="512" t="s">
        <v>620</v>
      </c>
      <c r="C114" s="1425" t="s">
        <v>691</v>
      </c>
      <c r="I114" s="518"/>
    </row>
    <row r="115" spans="1:17" ht="14.7" customHeight="1" x14ac:dyDescent="0.3">
      <c r="B115" s="512" t="s">
        <v>622</v>
      </c>
      <c r="C115" t="s">
        <v>692</v>
      </c>
      <c r="I115" s="518"/>
    </row>
    <row r="116" spans="1:17" ht="14.7" customHeight="1" x14ac:dyDescent="0.3">
      <c r="B116" s="517"/>
    </row>
    <row r="117" spans="1:17" ht="14.7" customHeight="1" thickBot="1" x14ac:dyDescent="0.35">
      <c r="B117" s="1430" t="s">
        <v>693</v>
      </c>
      <c r="C117" s="1431"/>
      <c r="D117" s="1431"/>
      <c r="E117" s="1431"/>
      <c r="F117" s="1431"/>
      <c r="G117" s="1431"/>
      <c r="H117" s="1431"/>
      <c r="I117" s="1431"/>
      <c r="J117" s="1431"/>
      <c r="K117" s="1431"/>
      <c r="L117" s="1431"/>
    </row>
    <row r="118" spans="1:17" ht="14.7" customHeight="1" x14ac:dyDescent="0.3">
      <c r="B118" s="512" t="s">
        <v>620</v>
      </c>
      <c r="C118" s="1425" t="s">
        <v>666</v>
      </c>
      <c r="I118" s="518"/>
    </row>
    <row r="119" spans="1:17" ht="14.7" customHeight="1" x14ac:dyDescent="0.3">
      <c r="B119" s="512" t="s">
        <v>622</v>
      </c>
      <c r="C119" t="s">
        <v>694</v>
      </c>
      <c r="I119" s="518"/>
    </row>
    <row r="120" spans="1:17" ht="14.7" customHeight="1" x14ac:dyDescent="0.3">
      <c r="B120" s="512"/>
      <c r="C120" s="1425"/>
      <c r="I120" s="518"/>
    </row>
    <row r="121" spans="1:17" ht="14.7" customHeight="1" thickBot="1" x14ac:dyDescent="0.35">
      <c r="B121" s="1430" t="s">
        <v>695</v>
      </c>
      <c r="C121" s="1431"/>
      <c r="D121" s="1431"/>
      <c r="E121" s="1431"/>
      <c r="F121" s="1431"/>
      <c r="G121" s="1431"/>
      <c r="H121" s="1431"/>
      <c r="I121" s="1431"/>
      <c r="J121" s="1431"/>
      <c r="K121" s="1431"/>
      <c r="L121" s="1431"/>
    </row>
    <row r="122" spans="1:17" ht="14.7" customHeight="1" x14ac:dyDescent="0.3">
      <c r="B122" s="512" t="s">
        <v>620</v>
      </c>
      <c r="C122" s="1425" t="s">
        <v>669</v>
      </c>
      <c r="I122" s="518"/>
    </row>
    <row r="123" spans="1:17" ht="14.7" customHeight="1" x14ac:dyDescent="0.3">
      <c r="B123" s="512" t="s">
        <v>622</v>
      </c>
      <c r="C123" t="s">
        <v>696</v>
      </c>
      <c r="I123" s="518"/>
    </row>
    <row r="124" spans="1:17" ht="14.7" customHeight="1" thickBot="1" x14ac:dyDescent="0.35">
      <c r="B124" s="512"/>
      <c r="C124" s="1425"/>
      <c r="I124" s="518"/>
      <c r="Q124" s="510" t="s">
        <v>2</v>
      </c>
    </row>
    <row r="125" spans="1:17" ht="15" thickBot="1" x14ac:dyDescent="0.35">
      <c r="A125" s="1420" t="s">
        <v>697</v>
      </c>
      <c r="B125" s="1421"/>
      <c r="C125" s="1421"/>
      <c r="D125" s="1421"/>
      <c r="E125" s="1421"/>
      <c r="F125" s="1421"/>
      <c r="G125" s="1421"/>
      <c r="H125" s="1421"/>
      <c r="I125" s="1421"/>
      <c r="J125" s="1421"/>
      <c r="K125" s="1421"/>
      <c r="L125" s="1422"/>
      <c r="M125" s="1423"/>
      <c r="N125" s="1423"/>
      <c r="O125" s="1423"/>
      <c r="P125" s="1423"/>
    </row>
    <row r="126" spans="1:17" ht="28.8" customHeight="1" x14ac:dyDescent="0.3">
      <c r="B126" s="517" t="s">
        <v>625</v>
      </c>
      <c r="C126" s="1432" t="s">
        <v>698</v>
      </c>
      <c r="D126" s="1432"/>
      <c r="E126" s="1432"/>
      <c r="F126" s="1432"/>
      <c r="G126" s="1432"/>
      <c r="H126" s="1432"/>
      <c r="I126" s="1432"/>
      <c r="J126" s="1432"/>
      <c r="K126" s="1432"/>
      <c r="L126" s="1432"/>
    </row>
    <row r="127" spans="1:17" ht="14.7" customHeight="1" x14ac:dyDescent="0.3">
      <c r="B127" s="512" t="s">
        <v>620</v>
      </c>
      <c r="C127" s="1425" t="s">
        <v>699</v>
      </c>
      <c r="I127" s="518"/>
      <c r="Q127" s="510" t="s">
        <v>2</v>
      </c>
    </row>
    <row r="128" spans="1:17" ht="14.7" customHeight="1" x14ac:dyDescent="0.3">
      <c r="B128" s="517" t="s">
        <v>622</v>
      </c>
      <c r="I128" s="515"/>
      <c r="J128" s="518"/>
      <c r="Q128" s="510"/>
    </row>
    <row r="129" spans="1:17" ht="14.7" customHeight="1" x14ac:dyDescent="0.3">
      <c r="B129" s="517"/>
      <c r="I129" s="515"/>
      <c r="J129" s="518"/>
      <c r="Q129" s="510"/>
    </row>
    <row r="130" spans="1:17" ht="14.7" customHeight="1" x14ac:dyDescent="0.3">
      <c r="B130" s="517"/>
      <c r="I130" s="515"/>
      <c r="J130" s="518"/>
      <c r="Q130" s="510"/>
    </row>
    <row r="131" spans="1:17" ht="14.7" customHeight="1" x14ac:dyDescent="0.3">
      <c r="B131" s="517"/>
      <c r="I131" s="515"/>
      <c r="J131" s="518"/>
      <c r="Q131" s="510"/>
    </row>
    <row r="132" spans="1:17" ht="14.7" customHeight="1" thickBot="1" x14ac:dyDescent="0.35">
      <c r="B132" s="517"/>
      <c r="I132" s="515"/>
      <c r="J132" s="518"/>
      <c r="Q132" s="510"/>
    </row>
    <row r="133" spans="1:17" ht="15" thickBot="1" x14ac:dyDescent="0.35">
      <c r="A133" s="1420" t="s">
        <v>700</v>
      </c>
      <c r="B133" s="1421"/>
      <c r="C133" s="1421"/>
      <c r="D133" s="1421"/>
      <c r="E133" s="1421"/>
      <c r="F133" s="1421"/>
      <c r="G133" s="1421"/>
      <c r="H133" s="1421"/>
      <c r="I133" s="1421"/>
      <c r="J133" s="1421"/>
      <c r="K133" s="1421"/>
      <c r="L133" s="1422"/>
      <c r="M133" s="1423"/>
      <c r="N133" s="1423"/>
      <c r="O133" s="1423"/>
      <c r="P133" s="1423"/>
    </row>
    <row r="134" spans="1:17" ht="28.8" customHeight="1" x14ac:dyDescent="0.3">
      <c r="B134" s="517" t="s">
        <v>617</v>
      </c>
      <c r="C134" s="1432" t="s">
        <v>701</v>
      </c>
      <c r="D134" s="1432"/>
      <c r="E134" s="1432"/>
      <c r="F134" s="1432"/>
      <c r="G134" s="1432"/>
      <c r="H134" s="1432"/>
      <c r="I134" s="1432"/>
      <c r="J134" s="1432"/>
      <c r="K134" s="1432"/>
      <c r="L134" s="1432"/>
    </row>
    <row r="135" spans="1:17" ht="14.7" customHeight="1" thickBot="1" x14ac:dyDescent="0.35">
      <c r="B135" s="510"/>
      <c r="I135" s="515"/>
      <c r="J135" s="518"/>
      <c r="Q135" s="510"/>
    </row>
    <row r="136" spans="1:17" ht="15" thickBot="1" x14ac:dyDescent="0.35">
      <c r="A136" s="1420" t="s">
        <v>146</v>
      </c>
      <c r="B136" s="1421"/>
      <c r="C136" s="1421"/>
      <c r="D136" s="1421"/>
      <c r="E136" s="1421"/>
      <c r="F136" s="1421"/>
      <c r="G136" s="1421"/>
      <c r="H136" s="1421"/>
      <c r="I136" s="1421"/>
      <c r="J136" s="1421"/>
      <c r="K136" s="1421"/>
      <c r="L136" s="1422"/>
      <c r="M136" s="1423"/>
      <c r="N136" s="1423"/>
      <c r="O136" s="1423"/>
      <c r="P136" s="1423"/>
    </row>
    <row r="137" spans="1:17" ht="29.4" customHeight="1" x14ac:dyDescent="0.3">
      <c r="B137" s="517" t="s">
        <v>620</v>
      </c>
      <c r="C137" s="1432" t="s">
        <v>702</v>
      </c>
      <c r="D137" s="1432"/>
      <c r="E137" s="1432"/>
      <c r="F137" s="1432"/>
      <c r="G137" s="1432"/>
      <c r="H137" s="1432"/>
      <c r="I137" s="1432"/>
      <c r="J137" s="1432"/>
      <c r="K137" s="1432"/>
      <c r="L137" s="1432"/>
    </row>
    <row r="138" spans="1:17" ht="14.7" customHeight="1" x14ac:dyDescent="0.3">
      <c r="B138" s="512" t="s">
        <v>622</v>
      </c>
      <c r="C138" s="1425" t="s">
        <v>703</v>
      </c>
      <c r="I138" s="518"/>
      <c r="Q138" s="510" t="s">
        <v>2</v>
      </c>
    </row>
    <row r="139" spans="1:17" ht="14.7" customHeight="1" thickBot="1" x14ac:dyDescent="0.35">
      <c r="B139" s="510"/>
      <c r="I139" s="515"/>
      <c r="J139" s="518"/>
      <c r="Q139" s="510"/>
    </row>
    <row r="140" spans="1:17" ht="15" thickBot="1" x14ac:dyDescent="0.35">
      <c r="A140" s="1420" t="s">
        <v>311</v>
      </c>
      <c r="B140" s="1421"/>
      <c r="C140" s="1421"/>
      <c r="D140" s="1421"/>
      <c r="E140" s="1421"/>
      <c r="F140" s="1421"/>
      <c r="G140" s="1421"/>
      <c r="H140" s="1421"/>
      <c r="I140" s="1421"/>
      <c r="J140" s="1421"/>
      <c r="K140" s="1421"/>
      <c r="L140" s="1422"/>
      <c r="M140" s="1423"/>
      <c r="N140" s="1423"/>
      <c r="O140" s="1423"/>
      <c r="P140" s="1423"/>
    </row>
    <row r="141" spans="1:17" ht="14.7" customHeight="1" x14ac:dyDescent="0.3">
      <c r="B141" s="517" t="s">
        <v>620</v>
      </c>
      <c r="C141" s="504" t="s">
        <v>704</v>
      </c>
    </row>
    <row r="142" spans="1:17" ht="14.7" customHeight="1" x14ac:dyDescent="0.3">
      <c r="B142" s="512" t="s">
        <v>622</v>
      </c>
      <c r="C142" s="1436" t="s">
        <v>703</v>
      </c>
      <c r="I142" s="518"/>
      <c r="Q142" s="510" t="s">
        <v>2</v>
      </c>
    </row>
    <row r="143" spans="1:17" ht="14.7" customHeight="1" thickBot="1" x14ac:dyDescent="0.35">
      <c r="B143" s="510"/>
      <c r="I143" s="515"/>
      <c r="J143" s="518"/>
      <c r="Q143" s="510"/>
    </row>
    <row r="144" spans="1:17" ht="15" thickBot="1" x14ac:dyDescent="0.35">
      <c r="A144" s="1420" t="s">
        <v>147</v>
      </c>
      <c r="B144" s="1421"/>
      <c r="C144" s="1421"/>
      <c r="D144" s="1421"/>
      <c r="E144" s="1421"/>
      <c r="F144" s="1421"/>
      <c r="G144" s="1421"/>
      <c r="H144" s="1421"/>
      <c r="I144" s="1421"/>
      <c r="J144" s="1421"/>
      <c r="K144" s="1421"/>
      <c r="L144" s="1422"/>
      <c r="M144" s="1423"/>
      <c r="N144" s="1423"/>
      <c r="O144" s="1423"/>
      <c r="P144" s="1423"/>
    </row>
    <row r="145" spans="1:17" ht="14.7" customHeight="1" x14ac:dyDescent="0.3">
      <c r="B145" s="517" t="s">
        <v>620</v>
      </c>
      <c r="C145" s="504" t="s">
        <v>705</v>
      </c>
    </row>
    <row r="146" spans="1:17" ht="14.7" customHeight="1" x14ac:dyDescent="0.3">
      <c r="B146" s="512" t="s">
        <v>622</v>
      </c>
      <c r="C146" s="510">
        <v>605325</v>
      </c>
      <c r="I146" s="518"/>
      <c r="Q146" s="510" t="s">
        <v>2</v>
      </c>
    </row>
    <row r="147" spans="1:17" ht="14.7" customHeight="1" thickBot="1" x14ac:dyDescent="0.35">
      <c r="B147" s="512"/>
      <c r="C147" s="1436"/>
      <c r="I147" s="518"/>
      <c r="Q147" s="510"/>
    </row>
    <row r="148" spans="1:17" ht="15" thickBot="1" x14ac:dyDescent="0.35">
      <c r="A148" s="1420" t="s">
        <v>547</v>
      </c>
      <c r="B148" s="1421"/>
      <c r="C148" s="1421"/>
      <c r="D148" s="1421"/>
      <c r="E148" s="1421"/>
      <c r="F148" s="1421"/>
      <c r="G148" s="1421"/>
      <c r="H148" s="1421"/>
      <c r="I148" s="1421"/>
      <c r="J148" s="1421"/>
      <c r="K148" s="1421"/>
      <c r="L148" s="1422"/>
      <c r="M148" s="1423"/>
      <c r="N148" s="1423"/>
      <c r="O148" s="1423"/>
      <c r="P148" s="1423"/>
    </row>
    <row r="149" spans="1:17" ht="14.7" customHeight="1" x14ac:dyDescent="0.3">
      <c r="B149" s="517" t="s">
        <v>620</v>
      </c>
      <c r="C149" s="504" t="s">
        <v>706</v>
      </c>
    </row>
    <row r="150" spans="1:17" ht="14.7" customHeight="1" x14ac:dyDescent="0.3">
      <c r="B150" s="512" t="s">
        <v>622</v>
      </c>
      <c r="C150" s="1425">
        <v>46203</v>
      </c>
      <c r="I150" s="518"/>
      <c r="Q150" s="510" t="s">
        <v>2</v>
      </c>
    </row>
    <row r="151" spans="1:17" ht="14.7" customHeight="1" thickBot="1" x14ac:dyDescent="0.35">
      <c r="B151" s="512"/>
      <c r="C151" s="1436"/>
      <c r="I151" s="518"/>
      <c r="Q151" s="510"/>
    </row>
    <row r="152" spans="1:17" ht="15" thickBot="1" x14ac:dyDescent="0.35">
      <c r="A152" s="1420" t="s">
        <v>252</v>
      </c>
      <c r="B152" s="1421"/>
      <c r="C152" s="1421"/>
      <c r="D152" s="1421"/>
      <c r="E152" s="1421"/>
      <c r="F152" s="1421"/>
      <c r="G152" s="1421"/>
      <c r="H152" s="1421"/>
      <c r="I152" s="1421"/>
      <c r="J152" s="1421"/>
      <c r="K152" s="1421"/>
      <c r="L152" s="1422"/>
      <c r="M152" s="1423"/>
      <c r="N152" s="1423"/>
      <c r="O152" s="1423"/>
      <c r="P152" s="1423"/>
    </row>
    <row r="153" spans="1:17" ht="29.4" customHeight="1" x14ac:dyDescent="0.3">
      <c r="B153" s="517" t="s">
        <v>620</v>
      </c>
      <c r="C153" s="1432" t="s">
        <v>707</v>
      </c>
      <c r="D153" s="1432"/>
      <c r="E153" s="1432"/>
      <c r="F153" s="1432"/>
      <c r="G153" s="1432"/>
      <c r="H153" s="1432"/>
      <c r="I153" s="1432"/>
      <c r="J153" s="1432"/>
      <c r="K153" s="1432"/>
      <c r="L153" s="1432"/>
    </row>
    <row r="154" spans="1:17" ht="14.7" customHeight="1" x14ac:dyDescent="0.3">
      <c r="B154" s="512" t="s">
        <v>622</v>
      </c>
      <c r="C154" s="510" t="s">
        <v>708</v>
      </c>
      <c r="I154" s="518"/>
      <c r="Q154" s="510" t="s">
        <v>2</v>
      </c>
    </row>
    <row r="155" spans="1:17" ht="14.7" customHeight="1" x14ac:dyDescent="0.3">
      <c r="B155" s="512"/>
      <c r="C155" s="510" t="s">
        <v>709</v>
      </c>
      <c r="I155" s="518"/>
      <c r="Q155" s="510"/>
    </row>
    <row r="156" spans="1:17" ht="14.7" customHeight="1" thickBot="1" x14ac:dyDescent="0.35">
      <c r="B156" s="512"/>
      <c r="C156" s="1436"/>
      <c r="I156" s="518"/>
      <c r="Q156" s="510"/>
    </row>
    <row r="157" spans="1:17" ht="15" thickBot="1" x14ac:dyDescent="0.35">
      <c r="A157" s="1420" t="s">
        <v>311</v>
      </c>
      <c r="B157" s="1421"/>
      <c r="C157" s="1421"/>
      <c r="D157" s="1421"/>
      <c r="E157" s="1421"/>
      <c r="F157" s="1421"/>
      <c r="G157" s="1421"/>
      <c r="H157" s="1421"/>
      <c r="I157" s="1421"/>
      <c r="J157" s="1421"/>
      <c r="K157" s="1421"/>
      <c r="L157" s="1422"/>
      <c r="M157" s="1423"/>
      <c r="N157" s="1423"/>
      <c r="O157" s="1423"/>
      <c r="P157" s="1423"/>
    </row>
    <row r="158" spans="1:17" ht="14.7" customHeight="1" x14ac:dyDescent="0.3">
      <c r="B158" s="517" t="s">
        <v>620</v>
      </c>
      <c r="C158" s="504" t="s">
        <v>710</v>
      </c>
    </row>
    <row r="159" spans="1:17" ht="14.7" customHeight="1" x14ac:dyDescent="0.3">
      <c r="B159" s="512" t="s">
        <v>622</v>
      </c>
      <c r="C159" s="1436" t="s">
        <v>711</v>
      </c>
      <c r="I159" s="518"/>
      <c r="Q159" s="510" t="s">
        <v>2</v>
      </c>
    </row>
    <row r="160" spans="1:17" ht="14.7" customHeight="1" thickBot="1" x14ac:dyDescent="0.35">
      <c r="B160" s="512"/>
      <c r="C160" s="1436"/>
      <c r="I160" s="518"/>
      <c r="Q160" s="510"/>
    </row>
    <row r="161" spans="1:17" ht="15" thickBot="1" x14ac:dyDescent="0.35">
      <c r="A161" s="1420" t="s">
        <v>147</v>
      </c>
      <c r="B161" s="1421"/>
      <c r="C161" s="1421"/>
      <c r="D161" s="1421"/>
      <c r="E161" s="1421"/>
      <c r="F161" s="1421"/>
      <c r="G161" s="1421"/>
      <c r="H161" s="1421"/>
      <c r="I161" s="1421"/>
      <c r="J161" s="1421"/>
      <c r="K161" s="1421"/>
      <c r="L161" s="1422"/>
      <c r="M161" s="1423"/>
      <c r="N161" s="1423"/>
      <c r="O161" s="1423"/>
      <c r="P161" s="1423"/>
    </row>
    <row r="162" spans="1:17" ht="14.7" customHeight="1" x14ac:dyDescent="0.3">
      <c r="B162" s="517" t="s">
        <v>620</v>
      </c>
      <c r="C162" s="504" t="s">
        <v>712</v>
      </c>
    </row>
    <row r="163" spans="1:17" ht="14.7" customHeight="1" x14ac:dyDescent="0.3">
      <c r="B163" s="512" t="s">
        <v>622</v>
      </c>
      <c r="C163" s="510">
        <v>902535</v>
      </c>
      <c r="I163" s="518"/>
      <c r="Q163" s="510" t="s">
        <v>2</v>
      </c>
    </row>
    <row r="164" spans="1:17" ht="14.7" customHeight="1" thickBot="1" x14ac:dyDescent="0.35">
      <c r="B164" s="512"/>
      <c r="C164" s="1436"/>
      <c r="I164" s="518"/>
      <c r="Q164" s="510"/>
    </row>
    <row r="165" spans="1:17" ht="15" thickBot="1" x14ac:dyDescent="0.35">
      <c r="A165" s="1420" t="s">
        <v>547</v>
      </c>
      <c r="B165" s="1421"/>
      <c r="C165" s="1421"/>
      <c r="D165" s="1421"/>
      <c r="E165" s="1421"/>
      <c r="F165" s="1421"/>
      <c r="G165" s="1421"/>
      <c r="H165" s="1421"/>
      <c r="I165" s="1421"/>
      <c r="J165" s="1421"/>
      <c r="K165" s="1421"/>
      <c r="L165" s="1422"/>
      <c r="M165" s="1423"/>
      <c r="N165" s="1423"/>
      <c r="O165" s="1423"/>
      <c r="P165" s="1423"/>
    </row>
    <row r="166" spans="1:17" ht="14.7" customHeight="1" x14ac:dyDescent="0.3">
      <c r="B166" s="517" t="s">
        <v>620</v>
      </c>
      <c r="C166" s="504" t="s">
        <v>713</v>
      </c>
    </row>
    <row r="167" spans="1:17" ht="14.7" customHeight="1" x14ac:dyDescent="0.3">
      <c r="B167" s="512" t="s">
        <v>622</v>
      </c>
      <c r="C167" s="1425">
        <v>46204</v>
      </c>
      <c r="I167" s="518"/>
      <c r="Q167" s="510" t="s">
        <v>2</v>
      </c>
    </row>
    <row r="168" spans="1:17" ht="14.7" customHeight="1" thickBot="1" x14ac:dyDescent="0.35">
      <c r="B168" s="512"/>
      <c r="C168" s="1436"/>
      <c r="I168" s="518"/>
      <c r="Q168" s="510"/>
    </row>
    <row r="169" spans="1:17" ht="15" thickBot="1" x14ac:dyDescent="0.35">
      <c r="A169" s="1420" t="s">
        <v>714</v>
      </c>
      <c r="B169" s="1421"/>
      <c r="C169" s="1421"/>
      <c r="D169" s="1421"/>
      <c r="E169" s="1421"/>
      <c r="F169" s="1421"/>
      <c r="G169" s="1421"/>
      <c r="H169" s="1421"/>
      <c r="I169" s="1421"/>
      <c r="J169" s="1421"/>
      <c r="K169" s="1421"/>
      <c r="L169" s="1422"/>
      <c r="M169" s="1423"/>
      <c r="N169" s="1423"/>
      <c r="O169" s="1423"/>
      <c r="P169" s="1423"/>
    </row>
    <row r="170" spans="1:17" ht="29.4" customHeight="1" x14ac:dyDescent="0.3">
      <c r="B170" s="517" t="s">
        <v>620</v>
      </c>
      <c r="C170" s="1432" t="s">
        <v>715</v>
      </c>
      <c r="D170" s="1432"/>
      <c r="E170" s="1432"/>
      <c r="F170" s="1432"/>
      <c r="G170" s="1432"/>
      <c r="H170" s="1432"/>
      <c r="I170" s="1432"/>
      <c r="J170" s="1432"/>
      <c r="K170" s="1432"/>
      <c r="L170" s="1432"/>
    </row>
    <row r="171" spans="1:17" ht="14.7" customHeight="1" x14ac:dyDescent="0.3">
      <c r="B171" s="512" t="s">
        <v>622</v>
      </c>
      <c r="C171" s="1425" t="s">
        <v>716</v>
      </c>
      <c r="H171" s="1427"/>
      <c r="I171" s="518"/>
      <c r="Q171" s="510" t="s">
        <v>2</v>
      </c>
    </row>
    <row r="172" spans="1:17" ht="14.7" customHeight="1" thickBot="1" x14ac:dyDescent="0.35">
      <c r="B172" s="512"/>
      <c r="C172" s="1436"/>
      <c r="H172" s="1427"/>
      <c r="I172" s="518"/>
      <c r="Q172" s="510"/>
    </row>
    <row r="173" spans="1:17" ht="14.7" customHeight="1" thickBot="1" x14ac:dyDescent="0.35">
      <c r="A173" s="1420" t="s">
        <v>717</v>
      </c>
      <c r="B173" s="1421"/>
      <c r="C173" s="1421"/>
      <c r="D173" s="1421"/>
      <c r="E173" s="1421"/>
      <c r="F173" s="1421"/>
      <c r="G173" s="1421"/>
      <c r="H173" s="1421"/>
      <c r="I173" s="1421"/>
      <c r="J173" s="1421"/>
      <c r="K173" s="1421"/>
      <c r="L173" s="1422"/>
      <c r="Q173" s="510"/>
    </row>
    <row r="174" spans="1:17" ht="14.7" customHeight="1" x14ac:dyDescent="0.3">
      <c r="B174" s="517" t="s">
        <v>620</v>
      </c>
      <c r="C174" s="1432" t="s">
        <v>718</v>
      </c>
      <c r="D174" s="1432"/>
      <c r="E174" s="1432"/>
      <c r="F174" s="1432"/>
      <c r="G174" s="1432"/>
      <c r="H174" s="1432"/>
      <c r="I174" s="1432"/>
      <c r="J174" s="1432"/>
      <c r="K174" s="1432"/>
      <c r="L174" s="1432"/>
      <c r="Q174" s="510"/>
    </row>
    <row r="175" spans="1:17" ht="14.7" customHeight="1" x14ac:dyDescent="0.3">
      <c r="B175" s="512" t="s">
        <v>622</v>
      </c>
      <c r="C175" s="510" t="s">
        <v>719</v>
      </c>
      <c r="I175" s="518"/>
      <c r="Q175" s="510"/>
    </row>
    <row r="176" spans="1:17" ht="14.7" customHeight="1" thickBot="1" x14ac:dyDescent="0.35">
      <c r="B176" s="512"/>
      <c r="C176" s="1436"/>
      <c r="I176" s="518"/>
      <c r="Q176" s="510"/>
    </row>
    <row r="177" spans="1:17" ht="14.7" customHeight="1" thickBot="1" x14ac:dyDescent="0.35">
      <c r="A177" s="1420" t="s">
        <v>311</v>
      </c>
      <c r="B177" s="1421"/>
      <c r="C177" s="1421"/>
      <c r="D177" s="1421"/>
      <c r="E177" s="1421"/>
      <c r="F177" s="1421"/>
      <c r="G177" s="1421"/>
      <c r="H177" s="1421"/>
      <c r="I177" s="1421"/>
      <c r="J177" s="1421"/>
      <c r="K177" s="1421"/>
      <c r="L177" s="1422"/>
      <c r="Q177" s="510"/>
    </row>
    <row r="178" spans="1:17" ht="14.7" customHeight="1" x14ac:dyDescent="0.3">
      <c r="B178" s="517" t="s">
        <v>620</v>
      </c>
      <c r="C178" s="504" t="s">
        <v>720</v>
      </c>
      <c r="Q178" s="510"/>
    </row>
    <row r="179" spans="1:17" ht="14.7" customHeight="1" x14ac:dyDescent="0.3">
      <c r="B179" s="512" t="s">
        <v>622</v>
      </c>
      <c r="C179" s="1436" t="s">
        <v>719</v>
      </c>
      <c r="I179" s="518"/>
      <c r="Q179" s="510"/>
    </row>
    <row r="180" spans="1:17" ht="14.7" customHeight="1" thickBot="1" x14ac:dyDescent="0.35">
      <c r="B180" s="512"/>
      <c r="C180" s="1436"/>
      <c r="I180" s="518"/>
      <c r="Q180" s="510"/>
    </row>
    <row r="181" spans="1:17" ht="14.7" customHeight="1" thickBot="1" x14ac:dyDescent="0.35">
      <c r="A181" s="1420" t="s">
        <v>547</v>
      </c>
      <c r="B181" s="1421"/>
      <c r="C181" s="1421"/>
      <c r="D181" s="1421"/>
      <c r="E181" s="1421"/>
      <c r="F181" s="1421"/>
      <c r="G181" s="1421"/>
      <c r="H181" s="1421"/>
      <c r="I181" s="1421"/>
      <c r="J181" s="1421"/>
      <c r="K181" s="1421"/>
      <c r="L181" s="1422"/>
      <c r="Q181" s="510"/>
    </row>
    <row r="182" spans="1:17" ht="14.7" customHeight="1" x14ac:dyDescent="0.3">
      <c r="B182" s="517" t="s">
        <v>620</v>
      </c>
      <c r="C182" s="504" t="s">
        <v>721</v>
      </c>
      <c r="Q182" s="510"/>
    </row>
    <row r="183" spans="1:17" ht="14.7" customHeight="1" x14ac:dyDescent="0.3">
      <c r="B183" s="512" t="s">
        <v>622</v>
      </c>
      <c r="C183" s="1425">
        <v>46206</v>
      </c>
      <c r="I183" s="518"/>
      <c r="Q183" s="510"/>
    </row>
    <row r="184" spans="1:17" ht="14.7" customHeight="1" x14ac:dyDescent="0.3">
      <c r="B184" s="512"/>
      <c r="C184" s="1436"/>
      <c r="I184" s="518"/>
      <c r="Q184" s="510"/>
    </row>
    <row r="185" spans="1:17" ht="14.7" customHeight="1" x14ac:dyDescent="0.3">
      <c r="B185" s="512"/>
      <c r="C185" s="1436"/>
      <c r="I185" s="518"/>
      <c r="Q185" s="510"/>
    </row>
  </sheetData>
  <mergeCells count="58">
    <mergeCell ref="A173:L173"/>
    <mergeCell ref="C174:L174"/>
    <mergeCell ref="A177:L177"/>
    <mergeCell ref="A181:L181"/>
    <mergeCell ref="C153:L153"/>
    <mergeCell ref="A157:L157"/>
    <mergeCell ref="A161:L161"/>
    <mergeCell ref="A165:L165"/>
    <mergeCell ref="A169:L169"/>
    <mergeCell ref="C170:L170"/>
    <mergeCell ref="A136:L136"/>
    <mergeCell ref="C137:L137"/>
    <mergeCell ref="A140:L140"/>
    <mergeCell ref="A144:L144"/>
    <mergeCell ref="A148:L148"/>
    <mergeCell ref="A152:L152"/>
    <mergeCell ref="B117:L117"/>
    <mergeCell ref="B121:L121"/>
    <mergeCell ref="A125:L125"/>
    <mergeCell ref="C126:L126"/>
    <mergeCell ref="A133:L133"/>
    <mergeCell ref="C134:L134"/>
    <mergeCell ref="A97:L97"/>
    <mergeCell ref="B98:L98"/>
    <mergeCell ref="C101:L101"/>
    <mergeCell ref="B103:L103"/>
    <mergeCell ref="B109:L109"/>
    <mergeCell ref="B113:L113"/>
    <mergeCell ref="B73:L73"/>
    <mergeCell ref="B77:L77"/>
    <mergeCell ref="B81:L81"/>
    <mergeCell ref="B85:L85"/>
    <mergeCell ref="B89:L89"/>
    <mergeCell ref="A96:L96"/>
    <mergeCell ref="A45:L45"/>
    <mergeCell ref="A56:L56"/>
    <mergeCell ref="A60:L60"/>
    <mergeCell ref="B61:L61"/>
    <mergeCell ref="B65:L65"/>
    <mergeCell ref="B69:L69"/>
    <mergeCell ref="A22:L22"/>
    <mergeCell ref="A26:L26"/>
    <mergeCell ref="C28:L28"/>
    <mergeCell ref="A32:L32"/>
    <mergeCell ref="A36:L36"/>
    <mergeCell ref="A39:L39"/>
    <mergeCell ref="B11:F11"/>
    <mergeCell ref="B13:D13"/>
    <mergeCell ref="B14:D14"/>
    <mergeCell ref="A16:L16"/>
    <mergeCell ref="M16:P16"/>
    <mergeCell ref="A17:L17"/>
    <mergeCell ref="A1:H1"/>
    <mergeCell ref="I1:L1"/>
    <mergeCell ref="A2:L2"/>
    <mergeCell ref="A3:L3"/>
    <mergeCell ref="B5:L5"/>
    <mergeCell ref="B7:L7"/>
  </mergeCells>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5AC4F-BC74-4B2C-A920-8CAB69128438}">
  <dimension ref="A1:Q94"/>
  <sheetViews>
    <sheetView showGridLines="0" zoomScaleNormal="100" zoomScaleSheetLayoutView="110" zoomScalePageLayoutView="90" workbookViewId="0">
      <selection activeCell="R19" sqref="R19"/>
    </sheetView>
  </sheetViews>
  <sheetFormatPr defaultColWidth="8.88671875" defaultRowHeight="14.4" x14ac:dyDescent="0.3"/>
  <cols>
    <col min="1" max="1" width="3.44140625" style="674" customWidth="1"/>
    <col min="2" max="11" width="8.88671875" style="674"/>
    <col min="12" max="12" width="13" style="674" customWidth="1"/>
    <col min="13" max="26" width="8.88671875" style="674"/>
    <col min="27" max="27" width="5.6640625" style="674" customWidth="1"/>
    <col min="28" max="16384" width="8.88671875" style="674"/>
  </cols>
  <sheetData>
    <row r="1" spans="1:16" ht="16.2" thickBot="1" x14ac:dyDescent="0.35">
      <c r="A1" s="806" t="s">
        <v>364</v>
      </c>
      <c r="B1" s="807"/>
      <c r="C1" s="807"/>
      <c r="D1" s="807"/>
      <c r="E1" s="807"/>
      <c r="F1" s="807"/>
      <c r="G1" s="807"/>
      <c r="H1" s="807"/>
      <c r="I1" s="808" t="s">
        <v>365</v>
      </c>
      <c r="J1" s="808"/>
      <c r="K1" s="808"/>
      <c r="L1" s="809"/>
    </row>
    <row r="2" spans="1:16" x14ac:dyDescent="0.3">
      <c r="A2" s="810" t="str">
        <f>Directions!A2</f>
        <v>DT2221     08/2022</v>
      </c>
      <c r="B2" s="810"/>
      <c r="C2" s="810"/>
      <c r="D2" s="810"/>
      <c r="E2" s="810"/>
      <c r="F2" s="810"/>
      <c r="G2" s="810"/>
      <c r="H2" s="810"/>
      <c r="I2" s="810"/>
      <c r="J2" s="810"/>
      <c r="K2" s="810"/>
      <c r="L2" s="810"/>
    </row>
    <row r="3" spans="1:16" ht="15" thickBot="1" x14ac:dyDescent="0.35">
      <c r="A3" s="675"/>
      <c r="B3" s="675"/>
      <c r="C3" s="675"/>
      <c r="D3" s="675"/>
      <c r="E3" s="675"/>
      <c r="F3" s="675"/>
      <c r="G3" s="675"/>
      <c r="H3" s="675"/>
      <c r="I3" s="675"/>
      <c r="J3" s="675"/>
      <c r="K3" s="675"/>
      <c r="L3" s="675"/>
    </row>
    <row r="4" spans="1:16" ht="15" thickBot="1" x14ac:dyDescent="0.35">
      <c r="A4" s="811" t="s">
        <v>459</v>
      </c>
      <c r="B4" s="812"/>
      <c r="C4" s="812"/>
      <c r="D4" s="812"/>
      <c r="E4" s="812"/>
      <c r="F4" s="812"/>
      <c r="G4" s="812"/>
      <c r="H4" s="812"/>
      <c r="I4" s="812"/>
      <c r="J4" s="812"/>
      <c r="K4" s="812"/>
      <c r="L4" s="813"/>
    </row>
    <row r="5" spans="1:16" x14ac:dyDescent="0.3">
      <c r="A5" s="676"/>
      <c r="B5" s="677"/>
      <c r="C5" s="677"/>
      <c r="D5" s="677"/>
      <c r="E5" s="677"/>
      <c r="F5" s="677"/>
      <c r="G5" s="677"/>
      <c r="H5" s="677"/>
      <c r="I5" s="677"/>
      <c r="J5" s="677"/>
      <c r="K5" s="677"/>
      <c r="L5" s="677"/>
    </row>
    <row r="6" spans="1:16" x14ac:dyDescent="0.3">
      <c r="A6" s="674" t="s">
        <v>460</v>
      </c>
      <c r="C6" s="677"/>
      <c r="D6" s="677"/>
      <c r="E6" s="677"/>
      <c r="F6" s="677"/>
      <c r="G6" s="677"/>
      <c r="H6" s="677"/>
      <c r="I6" s="677"/>
      <c r="J6" s="677"/>
      <c r="K6" s="677"/>
      <c r="L6" s="677"/>
    </row>
    <row r="7" spans="1:16" x14ac:dyDescent="0.3">
      <c r="D7" s="677"/>
      <c r="E7" s="677"/>
      <c r="F7" s="677"/>
      <c r="G7" s="677"/>
      <c r="H7" s="677"/>
      <c r="I7" s="677"/>
      <c r="J7" s="677"/>
      <c r="K7" s="677"/>
      <c r="L7" s="677"/>
    </row>
    <row r="8" spans="1:16" x14ac:dyDescent="0.3">
      <c r="A8" s="798" t="s">
        <v>604</v>
      </c>
      <c r="C8" s="677"/>
      <c r="D8" s="677"/>
      <c r="E8" s="677"/>
      <c r="F8" s="677"/>
      <c r="G8" s="677"/>
      <c r="H8" s="677"/>
      <c r="I8" s="677"/>
      <c r="J8" s="677"/>
      <c r="K8" s="677"/>
      <c r="L8" s="677"/>
    </row>
    <row r="9" spans="1:16" x14ac:dyDescent="0.3">
      <c r="A9" s="674" t="s">
        <v>458</v>
      </c>
      <c r="N9" s="805" t="str">
        <f>Directions!N8</f>
        <v>Version 2.1</v>
      </c>
      <c r="O9" s="805"/>
    </row>
    <row r="10" spans="1:16" ht="15" customHeight="1" thickBot="1" x14ac:dyDescent="0.35"/>
    <row r="11" spans="1:16" ht="15" customHeight="1" thickBot="1" x14ac:dyDescent="0.35">
      <c r="A11" s="811" t="s">
        <v>465</v>
      </c>
      <c r="B11" s="812"/>
      <c r="C11" s="812"/>
      <c r="D11" s="812"/>
      <c r="E11" s="812"/>
      <c r="F11" s="812"/>
      <c r="G11" s="812"/>
      <c r="H11" s="812"/>
      <c r="I11" s="812"/>
      <c r="J11" s="812"/>
      <c r="K11" s="812"/>
      <c r="L11" s="812"/>
      <c r="M11" s="812"/>
      <c r="N11" s="812"/>
      <c r="O11" s="812"/>
      <c r="P11" s="813"/>
    </row>
    <row r="12" spans="1:16" ht="14.7" customHeight="1" thickBot="1" x14ac:dyDescent="0.35">
      <c r="A12" s="814" t="s">
        <v>606</v>
      </c>
      <c r="B12" s="815"/>
      <c r="C12" s="815"/>
      <c r="D12" s="815"/>
      <c r="E12" s="815"/>
      <c r="F12" s="815"/>
      <c r="G12" s="815"/>
      <c r="H12" s="815"/>
      <c r="I12" s="815"/>
      <c r="J12" s="815"/>
      <c r="K12" s="815"/>
      <c r="L12" s="815"/>
      <c r="M12" s="815"/>
      <c r="N12" s="815"/>
      <c r="O12" s="815"/>
      <c r="P12" s="816"/>
    </row>
    <row r="13" spans="1:16" s="796" customFormat="1" ht="14.7" customHeight="1" x14ac:dyDescent="0.3">
      <c r="A13" s="797" t="s">
        <v>332</v>
      </c>
      <c r="M13" s="797"/>
      <c r="N13" s="797"/>
      <c r="O13" s="797"/>
      <c r="P13" s="797"/>
    </row>
    <row r="14" spans="1:16" s="796" customFormat="1" ht="14.7" customHeight="1" x14ac:dyDescent="0.3">
      <c r="A14" s="797" t="s">
        <v>373</v>
      </c>
      <c r="M14" s="797"/>
      <c r="N14" s="797"/>
      <c r="O14" s="797"/>
      <c r="P14" s="797"/>
    </row>
    <row r="15" spans="1:16" s="796" customFormat="1" ht="14.7" customHeight="1" x14ac:dyDescent="0.3">
      <c r="A15" s="796" t="s">
        <v>334</v>
      </c>
      <c r="M15" s="797"/>
      <c r="N15" s="797"/>
      <c r="O15" s="797"/>
      <c r="P15" s="797"/>
    </row>
    <row r="16" spans="1:16" s="796" customFormat="1" ht="14.7" customHeight="1" x14ac:dyDescent="0.3">
      <c r="A16" s="797" t="s">
        <v>457</v>
      </c>
      <c r="B16" s="797"/>
      <c r="C16" s="797"/>
      <c r="D16" s="797"/>
      <c r="E16" s="797"/>
      <c r="F16" s="797"/>
      <c r="G16" s="797"/>
      <c r="H16" s="797"/>
      <c r="I16" s="797"/>
      <c r="J16" s="797"/>
      <c r="M16" s="797"/>
      <c r="N16" s="797"/>
      <c r="O16" s="797"/>
      <c r="P16" s="797"/>
    </row>
    <row r="17" spans="1:16" s="796" customFormat="1" ht="14.7" customHeight="1" x14ac:dyDescent="0.3">
      <c r="A17" s="796" t="s">
        <v>464</v>
      </c>
      <c r="C17" s="797"/>
      <c r="D17" s="797"/>
      <c r="E17" s="797"/>
      <c r="F17" s="797"/>
      <c r="G17" s="797"/>
      <c r="H17" s="797"/>
      <c r="I17" s="797"/>
      <c r="J17" s="797"/>
      <c r="M17" s="797"/>
      <c r="N17" s="797"/>
      <c r="O17" s="797"/>
      <c r="P17" s="797"/>
    </row>
    <row r="18" spans="1:16" ht="14.7" customHeight="1" thickBot="1" x14ac:dyDescent="0.35">
      <c r="A18" s="676"/>
      <c r="C18" s="679"/>
      <c r="D18" s="679"/>
      <c r="E18" s="679"/>
      <c r="F18" s="679"/>
      <c r="G18" s="679"/>
      <c r="H18" s="679"/>
      <c r="I18" s="679"/>
      <c r="J18" s="679"/>
      <c r="M18" s="679"/>
      <c r="N18" s="679"/>
      <c r="O18" s="679"/>
      <c r="P18" s="679"/>
    </row>
    <row r="19" spans="1:16" ht="14.4" customHeight="1" thickBot="1" x14ac:dyDescent="0.35">
      <c r="A19" s="817" t="s">
        <v>605</v>
      </c>
      <c r="B19" s="818"/>
      <c r="C19" s="818"/>
      <c r="D19" s="818"/>
      <c r="E19" s="818"/>
      <c r="F19" s="818"/>
      <c r="G19" s="818"/>
      <c r="H19" s="818"/>
      <c r="I19" s="818"/>
      <c r="J19" s="818"/>
      <c r="K19" s="818"/>
      <c r="L19" s="818"/>
      <c r="M19" s="818"/>
      <c r="N19" s="818"/>
      <c r="O19" s="818"/>
      <c r="P19" s="819"/>
    </row>
    <row r="20" spans="1:16" x14ac:dyDescent="0.3">
      <c r="A20" s="802" t="s">
        <v>462</v>
      </c>
      <c r="B20" s="448"/>
      <c r="M20" s="803"/>
      <c r="N20" s="803"/>
      <c r="O20" s="803"/>
      <c r="P20" s="803"/>
    </row>
    <row r="21" spans="1:16" x14ac:dyDescent="0.3">
      <c r="A21" s="802" t="s">
        <v>463</v>
      </c>
      <c r="B21" s="448"/>
    </row>
    <row r="22" spans="1:16" x14ac:dyDescent="0.3">
      <c r="A22" s="802" t="s">
        <v>461</v>
      </c>
      <c r="B22" s="448"/>
    </row>
    <row r="23" spans="1:16" x14ac:dyDescent="0.3">
      <c r="A23" s="802" t="s">
        <v>164</v>
      </c>
      <c r="B23" s="448"/>
    </row>
    <row r="24" spans="1:16" x14ac:dyDescent="0.3">
      <c r="A24" s="802" t="s">
        <v>477</v>
      </c>
      <c r="D24" s="676"/>
      <c r="E24" s="676"/>
    </row>
    <row r="25" spans="1:16" ht="14.7" customHeight="1" x14ac:dyDescent="0.3">
      <c r="A25" s="802" t="s">
        <v>478</v>
      </c>
      <c r="J25" s="804"/>
    </row>
    <row r="26" spans="1:16" ht="14.7" customHeight="1" thickBot="1" x14ac:dyDescent="0.35"/>
    <row r="27" spans="1:16" ht="14.7" customHeight="1" thickBot="1" x14ac:dyDescent="0.35">
      <c r="A27" s="811" t="s">
        <v>475</v>
      </c>
      <c r="B27" s="812"/>
      <c r="C27" s="812"/>
      <c r="D27" s="812"/>
      <c r="E27" s="812"/>
      <c r="F27" s="812"/>
      <c r="G27" s="812"/>
      <c r="H27" s="812"/>
      <c r="I27" s="812"/>
      <c r="J27" s="812"/>
      <c r="K27" s="812"/>
      <c r="L27" s="812"/>
      <c r="M27" s="812"/>
      <c r="N27" s="812"/>
      <c r="O27" s="812"/>
      <c r="P27" s="813"/>
    </row>
    <row r="28" spans="1:16" x14ac:dyDescent="0.3">
      <c r="A28" s="674" t="s">
        <v>489</v>
      </c>
    </row>
    <row r="29" spans="1:16" x14ac:dyDescent="0.3">
      <c r="A29" s="674" t="s">
        <v>466</v>
      </c>
      <c r="J29" s="682"/>
    </row>
    <row r="30" spans="1:16" ht="14.7" customHeight="1" x14ac:dyDescent="0.3">
      <c r="A30" s="674" t="s">
        <v>467</v>
      </c>
    </row>
    <row r="31" spans="1:16" ht="14.7" customHeight="1" x14ac:dyDescent="0.3">
      <c r="A31" s="674" t="s">
        <v>468</v>
      </c>
      <c r="C31" s="678"/>
    </row>
    <row r="32" spans="1:16" ht="14.7" customHeight="1" x14ac:dyDescent="0.3">
      <c r="A32" s="677"/>
      <c r="B32" s="677" t="s">
        <v>373</v>
      </c>
      <c r="C32" s="683"/>
    </row>
    <row r="33" spans="1:17" ht="14.7" customHeight="1" x14ac:dyDescent="0.3">
      <c r="B33" s="677" t="s">
        <v>334</v>
      </c>
      <c r="C33" s="677"/>
      <c r="D33" s="677"/>
      <c r="E33" s="677"/>
      <c r="F33" s="677"/>
      <c r="G33" s="677"/>
      <c r="H33" s="677"/>
      <c r="I33" s="677"/>
      <c r="J33" s="677"/>
      <c r="K33" s="677"/>
    </row>
    <row r="34" spans="1:17" ht="14.7" customHeight="1" x14ac:dyDescent="0.3">
      <c r="B34" s="677" t="s">
        <v>457</v>
      </c>
      <c r="C34" s="676"/>
      <c r="D34" s="676"/>
      <c r="E34" s="676"/>
      <c r="F34" s="676"/>
      <c r="G34" s="676"/>
      <c r="H34" s="676"/>
      <c r="I34" s="676"/>
    </row>
    <row r="35" spans="1:17" ht="14.7" customHeight="1" x14ac:dyDescent="0.3">
      <c r="B35" s="677" t="s">
        <v>464</v>
      </c>
      <c r="C35" s="676"/>
      <c r="D35" s="676"/>
      <c r="E35" s="676"/>
      <c r="F35" s="676"/>
      <c r="G35" s="676"/>
      <c r="H35" s="676"/>
      <c r="I35" s="676"/>
    </row>
    <row r="36" spans="1:17" ht="14.7" customHeight="1" x14ac:dyDescent="0.3">
      <c r="B36" s="677" t="s">
        <v>469</v>
      </c>
      <c r="C36" s="676"/>
      <c r="D36" s="676"/>
      <c r="E36" s="676"/>
      <c r="F36" s="676"/>
      <c r="G36" s="676"/>
      <c r="H36" s="676"/>
    </row>
    <row r="37" spans="1:17" x14ac:dyDescent="0.3">
      <c r="A37" s="674" t="s">
        <v>485</v>
      </c>
      <c r="C37" s="676"/>
      <c r="D37" s="676"/>
      <c r="E37" s="676"/>
      <c r="F37" s="681"/>
      <c r="G37" s="681"/>
      <c r="H37" s="681"/>
      <c r="I37" s="681"/>
      <c r="J37" s="681"/>
      <c r="K37" s="681"/>
    </row>
    <row r="38" spans="1:17" x14ac:dyDescent="0.3">
      <c r="A38" s="676" t="s">
        <v>484</v>
      </c>
    </row>
    <row r="39" spans="1:17" ht="14.7" customHeight="1" x14ac:dyDescent="0.3">
      <c r="B39" s="676" t="s">
        <v>470</v>
      </c>
    </row>
    <row r="40" spans="1:17" ht="14.7" customHeight="1" x14ac:dyDescent="0.3">
      <c r="A40" s="674" t="s">
        <v>471</v>
      </c>
      <c r="B40" s="676"/>
    </row>
    <row r="41" spans="1:17" ht="14.7" customHeight="1" thickBot="1" x14ac:dyDescent="0.35">
      <c r="B41" s="676" t="s">
        <v>488</v>
      </c>
      <c r="E41" s="676"/>
      <c r="F41" s="676"/>
      <c r="G41" s="676"/>
      <c r="H41" s="676"/>
      <c r="I41" s="676"/>
      <c r="J41" s="676"/>
      <c r="K41" s="676"/>
      <c r="L41" s="676"/>
    </row>
    <row r="42" spans="1:17" ht="15" thickBot="1" x14ac:dyDescent="0.35">
      <c r="A42" s="811" t="s">
        <v>476</v>
      </c>
      <c r="B42" s="812"/>
      <c r="C42" s="812"/>
      <c r="D42" s="812"/>
      <c r="E42" s="812"/>
      <c r="F42" s="812"/>
      <c r="G42" s="812"/>
      <c r="H42" s="812"/>
      <c r="I42" s="812"/>
      <c r="J42" s="812"/>
      <c r="K42" s="812"/>
      <c r="L42" s="812"/>
      <c r="M42" s="812"/>
      <c r="N42" s="812"/>
      <c r="O42" s="812"/>
      <c r="P42" s="813"/>
    </row>
    <row r="43" spans="1:17" ht="14.7" customHeight="1" x14ac:dyDescent="0.3">
      <c r="A43" s="674" t="s">
        <v>489</v>
      </c>
      <c r="B43" s="676"/>
      <c r="Q43" s="676" t="s">
        <v>2</v>
      </c>
    </row>
    <row r="44" spans="1:17" ht="14.7" customHeight="1" x14ac:dyDescent="0.3">
      <c r="A44" s="674" t="s">
        <v>466</v>
      </c>
      <c r="B44" s="676"/>
      <c r="C44" s="683"/>
      <c r="I44" s="676"/>
      <c r="Q44" s="676"/>
    </row>
    <row r="45" spans="1:17" ht="14.7" customHeight="1" x14ac:dyDescent="0.3">
      <c r="A45" s="674" t="s">
        <v>467</v>
      </c>
      <c r="B45" s="676"/>
      <c r="I45" s="682"/>
      <c r="J45" s="676"/>
      <c r="Q45" s="676"/>
    </row>
    <row r="46" spans="1:17" ht="14.7" customHeight="1" x14ac:dyDescent="0.3">
      <c r="A46" s="674" t="s">
        <v>468</v>
      </c>
      <c r="B46" s="676"/>
      <c r="I46" s="682"/>
      <c r="J46" s="676"/>
      <c r="Q46" s="676"/>
    </row>
    <row r="47" spans="1:17" ht="14.7" customHeight="1" x14ac:dyDescent="0.3">
      <c r="A47" s="677"/>
      <c r="B47" s="677" t="s">
        <v>373</v>
      </c>
      <c r="I47" s="804"/>
      <c r="J47" s="676"/>
      <c r="Q47" s="676"/>
    </row>
    <row r="48" spans="1:17" ht="14.7" customHeight="1" x14ac:dyDescent="0.3">
      <c r="B48" s="677" t="s">
        <v>334</v>
      </c>
      <c r="I48" s="804"/>
      <c r="J48" s="676"/>
      <c r="Q48" s="676"/>
    </row>
    <row r="49" spans="1:12" x14ac:dyDescent="0.3">
      <c r="B49" s="677" t="s">
        <v>457</v>
      </c>
      <c r="K49" s="676"/>
    </row>
    <row r="50" spans="1:12" x14ac:dyDescent="0.3">
      <c r="B50" s="677" t="s">
        <v>464</v>
      </c>
      <c r="C50" s="676"/>
      <c r="D50" s="676"/>
      <c r="K50" s="676"/>
    </row>
    <row r="51" spans="1:12" x14ac:dyDescent="0.3">
      <c r="A51" s="674" t="s">
        <v>483</v>
      </c>
      <c r="B51" s="676"/>
    </row>
    <row r="52" spans="1:12" ht="14.7" customHeight="1" x14ac:dyDescent="0.3">
      <c r="A52" s="676" t="s">
        <v>486</v>
      </c>
      <c r="C52" s="676"/>
      <c r="D52" s="676"/>
    </row>
    <row r="53" spans="1:12" x14ac:dyDescent="0.3">
      <c r="A53" s="674" t="s">
        <v>487</v>
      </c>
    </row>
    <row r="55" spans="1:12" x14ac:dyDescent="0.3">
      <c r="A55" s="802" t="s">
        <v>529</v>
      </c>
      <c r="C55" s="683"/>
    </row>
    <row r="56" spans="1:12" ht="14.4" customHeight="1" x14ac:dyDescent="0.3">
      <c r="A56" s="802" t="s">
        <v>530</v>
      </c>
      <c r="C56" s="683"/>
      <c r="K56" s="676"/>
    </row>
    <row r="57" spans="1:12" ht="15.6" x14ac:dyDescent="0.3">
      <c r="A57" s="718"/>
      <c r="B57" s="718"/>
      <c r="C57" s="718"/>
      <c r="D57" s="718"/>
      <c r="E57" s="718"/>
      <c r="F57" s="718"/>
      <c r="G57" s="718"/>
      <c r="H57" s="718"/>
      <c r="I57" s="719"/>
      <c r="J57" s="719"/>
      <c r="K57" s="719"/>
      <c r="L57" s="719"/>
    </row>
    <row r="58" spans="1:12" x14ac:dyDescent="0.3">
      <c r="A58" s="717"/>
      <c r="B58" s="717"/>
      <c r="C58" s="717"/>
      <c r="D58" s="717"/>
      <c r="E58" s="717"/>
      <c r="F58" s="717"/>
      <c r="G58" s="717"/>
      <c r="H58" s="717"/>
      <c r="I58" s="717"/>
      <c r="J58" s="717"/>
      <c r="K58" s="717"/>
      <c r="L58" s="717"/>
    </row>
    <row r="59" spans="1:12" x14ac:dyDescent="0.3">
      <c r="A59" s="684"/>
      <c r="B59" s="684"/>
      <c r="C59" s="684"/>
      <c r="D59" s="684"/>
      <c r="E59" s="684"/>
      <c r="F59" s="684"/>
      <c r="G59" s="684"/>
      <c r="H59" s="684"/>
      <c r="I59" s="684"/>
      <c r="J59" s="684"/>
      <c r="K59" s="685"/>
    </row>
    <row r="60" spans="1:12" x14ac:dyDescent="0.3">
      <c r="A60" s="684"/>
      <c r="B60" s="678"/>
      <c r="C60" s="684"/>
      <c r="D60" s="684"/>
      <c r="E60" s="684"/>
      <c r="F60" s="684"/>
      <c r="G60" s="684"/>
      <c r="H60" s="684"/>
      <c r="I60" s="684"/>
      <c r="J60" s="684"/>
      <c r="K60" s="685"/>
    </row>
    <row r="61" spans="1:12" x14ac:dyDescent="0.3">
      <c r="A61" s="684"/>
      <c r="B61" s="676"/>
      <c r="C61" s="676"/>
      <c r="D61" s="676"/>
      <c r="E61" s="676"/>
      <c r="F61" s="676"/>
      <c r="G61" s="676"/>
      <c r="H61" s="676"/>
      <c r="I61" s="676"/>
      <c r="J61" s="676"/>
      <c r="K61" s="685"/>
    </row>
    <row r="62" spans="1:12" x14ac:dyDescent="0.3">
      <c r="B62" s="676"/>
      <c r="K62" s="685"/>
    </row>
    <row r="63" spans="1:12" x14ac:dyDescent="0.3">
      <c r="B63" s="676"/>
      <c r="K63" s="685"/>
    </row>
    <row r="64" spans="1:12" x14ac:dyDescent="0.3">
      <c r="B64" s="676"/>
      <c r="K64" s="685"/>
    </row>
    <row r="65" spans="1:11" x14ac:dyDescent="0.3">
      <c r="A65" s="684"/>
      <c r="D65" s="720"/>
      <c r="E65" s="721"/>
      <c r="F65" s="720"/>
      <c r="G65" s="721"/>
      <c r="H65" s="720"/>
      <c r="I65" s="721"/>
      <c r="K65" s="685"/>
    </row>
    <row r="66" spans="1:11" x14ac:dyDescent="0.3">
      <c r="B66" s="676"/>
      <c r="K66" s="685"/>
    </row>
    <row r="67" spans="1:11" x14ac:dyDescent="0.3">
      <c r="B67" s="685"/>
      <c r="C67" s="676"/>
      <c r="D67" s="685"/>
      <c r="E67" s="685"/>
      <c r="F67" s="685"/>
      <c r="G67" s="685"/>
      <c r="H67" s="685"/>
      <c r="I67" s="685"/>
      <c r="J67" s="685"/>
      <c r="K67" s="685"/>
    </row>
    <row r="68" spans="1:11" x14ac:dyDescent="0.3">
      <c r="B68" s="685"/>
      <c r="C68" s="676"/>
      <c r="D68" s="685"/>
      <c r="E68" s="685"/>
      <c r="F68" s="685"/>
      <c r="G68" s="685"/>
      <c r="H68" s="685"/>
      <c r="I68" s="685"/>
      <c r="J68" s="685"/>
    </row>
    <row r="69" spans="1:11" x14ac:dyDescent="0.3">
      <c r="B69" s="685"/>
      <c r="C69" s="676"/>
      <c r="D69" s="685"/>
      <c r="E69" s="685"/>
      <c r="F69" s="685"/>
      <c r="G69" s="685"/>
      <c r="H69" s="685"/>
      <c r="I69" s="685"/>
      <c r="J69" s="685"/>
    </row>
    <row r="70" spans="1:11" x14ac:dyDescent="0.3">
      <c r="B70" s="676"/>
      <c r="C70" s="676"/>
      <c r="D70" s="685"/>
      <c r="E70" s="685"/>
      <c r="F70" s="685"/>
      <c r="G70" s="685"/>
      <c r="H70" s="685"/>
      <c r="I70" s="685"/>
      <c r="J70" s="685"/>
    </row>
    <row r="71" spans="1:11" x14ac:dyDescent="0.3">
      <c r="B71" s="676"/>
      <c r="C71" s="676"/>
      <c r="D71" s="685"/>
      <c r="E71" s="685"/>
      <c r="F71" s="685"/>
      <c r="G71" s="685"/>
      <c r="H71" s="685"/>
      <c r="I71" s="685"/>
      <c r="J71" s="685"/>
    </row>
    <row r="72" spans="1:11" x14ac:dyDescent="0.3">
      <c r="B72" s="676"/>
      <c r="C72" s="676"/>
      <c r="D72" s="685"/>
      <c r="E72" s="685"/>
      <c r="F72" s="685"/>
      <c r="G72" s="685"/>
      <c r="H72" s="685"/>
      <c r="I72" s="685"/>
      <c r="J72" s="685"/>
    </row>
    <row r="73" spans="1:11" x14ac:dyDescent="0.3">
      <c r="B73" s="676"/>
      <c r="C73" s="676"/>
      <c r="D73" s="685"/>
      <c r="E73" s="685"/>
      <c r="F73" s="685"/>
      <c r="G73" s="685"/>
      <c r="H73" s="685"/>
      <c r="I73" s="685"/>
      <c r="J73" s="685"/>
    </row>
    <row r="74" spans="1:11" x14ac:dyDescent="0.3">
      <c r="B74" s="676"/>
      <c r="C74" s="676"/>
      <c r="D74" s="685"/>
      <c r="E74" s="685"/>
      <c r="F74" s="685"/>
      <c r="G74" s="685"/>
      <c r="H74" s="685"/>
      <c r="I74" s="685"/>
      <c r="J74" s="685"/>
    </row>
    <row r="75" spans="1:11" x14ac:dyDescent="0.3">
      <c r="B75" s="683"/>
      <c r="I75" s="685"/>
    </row>
    <row r="76" spans="1:11" x14ac:dyDescent="0.3">
      <c r="I76" s="685"/>
    </row>
    <row r="77" spans="1:11" ht="14.4" customHeight="1" x14ac:dyDescent="0.3">
      <c r="A77" s="680"/>
      <c r="I77" s="685"/>
    </row>
    <row r="78" spans="1:11" ht="14.4" customHeight="1" x14ac:dyDescent="0.3">
      <c r="J78" s="685"/>
    </row>
    <row r="79" spans="1:11" x14ac:dyDescent="0.3">
      <c r="B79" s="678"/>
    </row>
    <row r="80" spans="1:11" ht="21.6" customHeight="1" x14ac:dyDescent="0.3">
      <c r="C80" s="686"/>
    </row>
    <row r="81" spans="1:12" x14ac:dyDescent="0.3">
      <c r="A81" s="684"/>
      <c r="C81" s="686"/>
      <c r="I81" s="685"/>
    </row>
    <row r="82" spans="1:12" x14ac:dyDescent="0.3">
      <c r="I82" s="722"/>
      <c r="J82" s="685"/>
    </row>
    <row r="83" spans="1:12" x14ac:dyDescent="0.3">
      <c r="I83" s="687"/>
      <c r="J83" s="722"/>
      <c r="K83" s="722"/>
      <c r="L83" s="722"/>
    </row>
    <row r="84" spans="1:12" ht="14.4" customHeight="1" x14ac:dyDescent="0.3">
      <c r="B84" s="686"/>
      <c r="I84" s="687"/>
      <c r="J84" s="722"/>
      <c r="K84" s="722"/>
      <c r="L84" s="722"/>
    </row>
    <row r="85" spans="1:12" x14ac:dyDescent="0.3">
      <c r="A85" s="684"/>
      <c r="K85" s="687"/>
      <c r="L85" s="687"/>
    </row>
    <row r="86" spans="1:12" x14ac:dyDescent="0.3">
      <c r="B86" s="683"/>
      <c r="K86" s="687"/>
      <c r="L86" s="687"/>
    </row>
    <row r="87" spans="1:12" x14ac:dyDescent="0.3">
      <c r="B87" s="683"/>
    </row>
    <row r="90" spans="1:12" ht="14.7" customHeight="1" x14ac:dyDescent="0.3"/>
    <row r="91" spans="1:12" x14ac:dyDescent="0.3">
      <c r="I91" s="685"/>
      <c r="J91" s="687"/>
    </row>
    <row r="92" spans="1:12" x14ac:dyDescent="0.3">
      <c r="J92" s="685"/>
    </row>
    <row r="93" spans="1:12" x14ac:dyDescent="0.3">
      <c r="E93" s="686"/>
    </row>
    <row r="94" spans="1:12" x14ac:dyDescent="0.3">
      <c r="E94" s="686"/>
    </row>
  </sheetData>
  <mergeCells count="10">
    <mergeCell ref="A11:P11"/>
    <mergeCell ref="A27:P27"/>
    <mergeCell ref="A42:P42"/>
    <mergeCell ref="A12:P12"/>
    <mergeCell ref="A19:P19"/>
    <mergeCell ref="N9:O9"/>
    <mergeCell ref="A1:H1"/>
    <mergeCell ref="I1:L1"/>
    <mergeCell ref="A2:L2"/>
    <mergeCell ref="A4:L4"/>
  </mergeCells>
  <pageMargins left="0.7" right="0.7" top="0.75" bottom="0.75" header="0.3" footer="0.3"/>
  <pageSetup scale="62" orientation="portrait" r:id="rId1"/>
  <headerFooter>
    <oddFooter>&amp;L&amp;9&amp;A&amp;C&amp;9&amp;P of &amp;N&amp;R&amp;9&amp;F</oddFooter>
  </headerFooter>
  <rowBreaks count="1" manualBreakCount="1">
    <brk id="56" max="15" man="1"/>
  </rowBreaks>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23B0B-187B-40C8-8D4D-0662EBAE8232}">
  <dimension ref="B1:I138"/>
  <sheetViews>
    <sheetView showGridLines="0" topLeftCell="A6" zoomScaleNormal="100" zoomScaleSheetLayoutView="100" workbookViewId="0">
      <selection activeCell="L124" sqref="L124"/>
    </sheetView>
  </sheetViews>
  <sheetFormatPr defaultColWidth="8.6640625" defaultRowHeight="14.4" x14ac:dyDescent="0.3"/>
  <cols>
    <col min="1" max="1" width="8.5546875" customWidth="1"/>
    <col min="2" max="2" width="10.88671875" customWidth="1"/>
    <col min="3" max="3" width="19.88671875" customWidth="1"/>
    <col min="4" max="4" width="20.109375" customWidth="1"/>
    <col min="5" max="5" width="19.33203125" customWidth="1"/>
    <col min="6" max="6" width="15.6640625" customWidth="1"/>
    <col min="7" max="7" width="24.44140625" bestFit="1" customWidth="1"/>
    <col min="8" max="9" width="17.6640625" customWidth="1"/>
    <col min="10" max="10" width="8.5546875" customWidth="1"/>
    <col min="11" max="11" width="8.88671875" customWidth="1"/>
  </cols>
  <sheetData>
    <row r="1" spans="2:9" ht="16.2" thickBot="1" x14ac:dyDescent="0.35">
      <c r="B1" s="826" t="s">
        <v>377</v>
      </c>
      <c r="C1" s="827"/>
      <c r="D1" s="827"/>
      <c r="E1" s="827"/>
      <c r="F1" s="827"/>
      <c r="G1" s="828" t="s">
        <v>365</v>
      </c>
      <c r="H1" s="828"/>
      <c r="I1" s="829"/>
    </row>
    <row r="2" spans="2:9" ht="16.2" thickBot="1" x14ac:dyDescent="0.35">
      <c r="B2" s="97" t="str">
        <f>Directions!A2</f>
        <v>DT2221     08/2022</v>
      </c>
      <c r="C2" s="98"/>
      <c r="D2" s="563"/>
      <c r="E2" s="563"/>
      <c r="F2" s="563"/>
      <c r="G2" s="563"/>
      <c r="H2" s="563"/>
      <c r="I2" s="660"/>
    </row>
    <row r="3" spans="2:9" ht="16.2" thickBot="1" x14ac:dyDescent="0.35">
      <c r="B3" s="826" t="s">
        <v>295</v>
      </c>
      <c r="C3" s="827"/>
      <c r="D3" s="827"/>
      <c r="E3" s="827"/>
      <c r="F3" s="827"/>
      <c r="G3" s="827"/>
      <c r="H3" s="827"/>
      <c r="I3" s="834"/>
    </row>
    <row r="4" spans="2:9" x14ac:dyDescent="0.3">
      <c r="B4" s="890" t="s">
        <v>296</v>
      </c>
      <c r="C4" s="887"/>
      <c r="D4" s="974"/>
      <c r="E4" s="99" t="s">
        <v>16</v>
      </c>
      <c r="F4" s="924" t="s">
        <v>17</v>
      </c>
      <c r="G4" s="924"/>
      <c r="H4" s="924" t="s">
        <v>18</v>
      </c>
      <c r="I4" s="925"/>
    </row>
    <row r="5" spans="2:9" ht="15.6" x14ac:dyDescent="0.3">
      <c r="B5" s="946"/>
      <c r="C5" s="947"/>
      <c r="D5" s="999"/>
      <c r="E5" s="655"/>
      <c r="F5" s="994"/>
      <c r="G5" s="999"/>
      <c r="H5" s="994"/>
      <c r="I5" s="995"/>
    </row>
    <row r="6" spans="2:9" x14ac:dyDescent="0.3">
      <c r="B6" s="930" t="s">
        <v>19</v>
      </c>
      <c r="C6" s="924"/>
      <c r="D6" s="924"/>
      <c r="E6" s="924"/>
      <c r="F6" s="924" t="s">
        <v>20</v>
      </c>
      <c r="G6" s="924"/>
      <c r="H6" s="924"/>
      <c r="I6" s="925"/>
    </row>
    <row r="7" spans="2:9" ht="15.6" x14ac:dyDescent="0.3">
      <c r="B7" s="992"/>
      <c r="C7" s="993"/>
      <c r="D7" s="993"/>
      <c r="E7" s="993"/>
      <c r="F7" s="994"/>
      <c r="G7" s="947"/>
      <c r="H7" s="947"/>
      <c r="I7" s="995"/>
    </row>
    <row r="8" spans="2:9" x14ac:dyDescent="0.3">
      <c r="B8" s="930" t="s">
        <v>21</v>
      </c>
      <c r="C8" s="924"/>
      <c r="D8" s="924"/>
      <c r="E8" s="924"/>
      <c r="F8" s="924" t="s">
        <v>297</v>
      </c>
      <c r="G8" s="924"/>
      <c r="H8" s="924"/>
      <c r="I8" s="925"/>
    </row>
    <row r="9" spans="2:9" ht="16.2" thickBot="1" x14ac:dyDescent="0.35">
      <c r="B9" s="996"/>
      <c r="C9" s="997"/>
      <c r="D9" s="997"/>
      <c r="E9" s="997"/>
      <c r="F9" s="997"/>
      <c r="G9" s="997"/>
      <c r="H9" s="997"/>
      <c r="I9" s="998"/>
    </row>
    <row r="10" spans="2:9" ht="16.2" thickBot="1" x14ac:dyDescent="0.35">
      <c r="B10" s="826" t="s">
        <v>298</v>
      </c>
      <c r="C10" s="827"/>
      <c r="D10" s="827"/>
      <c r="E10" s="827"/>
      <c r="F10" s="827"/>
      <c r="G10" s="827"/>
      <c r="H10" s="827"/>
      <c r="I10" s="834"/>
    </row>
    <row r="11" spans="2:9" x14ac:dyDescent="0.3">
      <c r="B11" s="890" t="s">
        <v>294</v>
      </c>
      <c r="C11" s="887"/>
      <c r="D11" s="887"/>
      <c r="E11" s="887"/>
      <c r="F11" s="887"/>
      <c r="G11" s="887"/>
      <c r="H11" s="886" t="s">
        <v>299</v>
      </c>
      <c r="I11" s="975"/>
    </row>
    <row r="12" spans="2:9" ht="15.6" x14ac:dyDescent="0.3">
      <c r="B12" s="946"/>
      <c r="C12" s="947"/>
      <c r="D12" s="947"/>
      <c r="E12" s="947"/>
      <c r="F12" s="947"/>
      <c r="G12" s="999"/>
      <c r="H12" s="972"/>
      <c r="I12" s="973"/>
    </row>
    <row r="13" spans="2:9" x14ac:dyDescent="0.3">
      <c r="B13" s="890" t="s">
        <v>300</v>
      </c>
      <c r="C13" s="887"/>
      <c r="D13" s="887"/>
      <c r="E13" s="887"/>
      <c r="F13" s="886" t="s">
        <v>142</v>
      </c>
      <c r="G13" s="974"/>
      <c r="H13" s="100" t="s">
        <v>143</v>
      </c>
      <c r="I13" s="101" t="s">
        <v>144</v>
      </c>
    </row>
    <row r="14" spans="2:9" ht="16.2" thickBot="1" x14ac:dyDescent="0.35">
      <c r="B14" s="1000"/>
      <c r="C14" s="1001"/>
      <c r="D14" s="1001"/>
      <c r="E14" s="1001"/>
      <c r="F14" s="891"/>
      <c r="G14" s="1002"/>
      <c r="H14" s="102"/>
      <c r="I14" s="103"/>
    </row>
    <row r="15" spans="2:9" ht="16.2" thickBot="1" x14ac:dyDescent="0.35">
      <c r="B15" s="826" t="s">
        <v>301</v>
      </c>
      <c r="C15" s="827"/>
      <c r="D15" s="827"/>
      <c r="E15" s="827"/>
      <c r="F15" s="827"/>
      <c r="G15" s="827"/>
      <c r="H15" s="827"/>
      <c r="I15" s="834"/>
    </row>
    <row r="16" spans="2:9" x14ac:dyDescent="0.3">
      <c r="B16" s="890" t="s">
        <v>302</v>
      </c>
      <c r="C16" s="887"/>
      <c r="D16" s="887"/>
      <c r="E16" s="887"/>
      <c r="F16" s="887"/>
      <c r="G16" s="887"/>
      <c r="H16" s="886" t="s">
        <v>299</v>
      </c>
      <c r="I16" s="975"/>
    </row>
    <row r="17" spans="2:9" ht="15.6" x14ac:dyDescent="0.3">
      <c r="B17" s="946"/>
      <c r="C17" s="947"/>
      <c r="D17" s="947"/>
      <c r="E17" s="947"/>
      <c r="F17" s="947"/>
      <c r="G17" s="999"/>
      <c r="H17" s="972"/>
      <c r="I17" s="973"/>
    </row>
    <row r="18" spans="2:9" x14ac:dyDescent="0.3">
      <c r="B18" s="890" t="s">
        <v>300</v>
      </c>
      <c r="C18" s="887"/>
      <c r="D18" s="887"/>
      <c r="E18" s="887"/>
      <c r="F18" s="886" t="s">
        <v>142</v>
      </c>
      <c r="G18" s="887"/>
      <c r="H18" s="100" t="s">
        <v>143</v>
      </c>
      <c r="I18" s="101" t="s">
        <v>144</v>
      </c>
    </row>
    <row r="19" spans="2:9" ht="16.2" thickBot="1" x14ac:dyDescent="0.35">
      <c r="B19" s="1000"/>
      <c r="C19" s="1001"/>
      <c r="D19" s="1001"/>
      <c r="E19" s="1001"/>
      <c r="F19" s="891"/>
      <c r="G19" s="1002"/>
      <c r="H19" s="102"/>
      <c r="I19" s="103"/>
    </row>
    <row r="20" spans="2:9" ht="16.2" thickBot="1" x14ac:dyDescent="0.35">
      <c r="B20" s="826" t="s">
        <v>303</v>
      </c>
      <c r="C20" s="827"/>
      <c r="D20" s="827"/>
      <c r="E20" s="827"/>
      <c r="F20" s="827"/>
      <c r="G20" s="827"/>
      <c r="H20" s="827"/>
      <c r="I20" s="834"/>
    </row>
    <row r="21" spans="2:9" x14ac:dyDescent="0.3">
      <c r="B21" s="890" t="s">
        <v>304</v>
      </c>
      <c r="C21" s="887"/>
      <c r="D21" s="974"/>
      <c r="E21" s="99" t="s">
        <v>139</v>
      </c>
      <c r="F21" s="924" t="s">
        <v>140</v>
      </c>
      <c r="G21" s="924"/>
      <c r="H21" s="924" t="s">
        <v>546</v>
      </c>
      <c r="I21" s="925"/>
    </row>
    <row r="22" spans="2:9" ht="15.6" x14ac:dyDescent="0.3">
      <c r="B22" s="946"/>
      <c r="C22" s="947"/>
      <c r="D22" s="999"/>
      <c r="E22" s="105" t="str">
        <f>'7 Calculation Check'!E19</f>
        <v>0 - OAG</v>
      </c>
      <c r="F22" s="994"/>
      <c r="G22" s="999"/>
      <c r="H22" s="1019"/>
      <c r="I22" s="1020"/>
    </row>
    <row r="23" spans="2:9" ht="14.4" customHeight="1" x14ac:dyDescent="0.3">
      <c r="B23" s="1014" t="s">
        <v>141</v>
      </c>
      <c r="C23" s="1015"/>
      <c r="D23" s="1015"/>
      <c r="E23" s="1015"/>
      <c r="F23" s="1015"/>
      <c r="G23" s="1015"/>
      <c r="H23" s="1015"/>
      <c r="I23" s="1016"/>
    </row>
    <row r="24" spans="2:9" x14ac:dyDescent="0.3">
      <c r="B24" s="1023" t="s">
        <v>305</v>
      </c>
      <c r="C24" s="1024"/>
      <c r="D24" s="1005" t="s">
        <v>24</v>
      </c>
      <c r="E24" s="1006"/>
      <c r="F24" s="1006"/>
      <c r="G24" s="1006"/>
      <c r="H24" s="1006"/>
      <c r="I24" s="1007"/>
    </row>
    <row r="25" spans="2:9" ht="15.6" x14ac:dyDescent="0.3">
      <c r="B25" s="1003"/>
      <c r="C25" s="1004"/>
      <c r="D25" s="880"/>
      <c r="E25" s="881"/>
      <c r="F25" s="881"/>
      <c r="G25" s="881"/>
      <c r="H25" s="881"/>
      <c r="I25" s="882"/>
    </row>
    <row r="26" spans="2:9" ht="15.6" x14ac:dyDescent="0.3">
      <c r="B26" s="1003"/>
      <c r="C26" s="1004"/>
      <c r="D26" s="880"/>
      <c r="E26" s="881"/>
      <c r="F26" s="881"/>
      <c r="G26" s="881"/>
      <c r="H26" s="881"/>
      <c r="I26" s="882"/>
    </row>
    <row r="27" spans="2:9" ht="15.6" x14ac:dyDescent="0.3">
      <c r="B27" s="1003"/>
      <c r="C27" s="1004"/>
      <c r="D27" s="880"/>
      <c r="E27" s="881"/>
      <c r="F27" s="881"/>
      <c r="G27" s="881"/>
      <c r="H27" s="881"/>
      <c r="I27" s="882"/>
    </row>
    <row r="28" spans="2:9" ht="15.6" x14ac:dyDescent="0.3">
      <c r="B28" s="1003"/>
      <c r="C28" s="1004"/>
      <c r="D28" s="880"/>
      <c r="E28" s="881"/>
      <c r="F28" s="881"/>
      <c r="G28" s="881"/>
      <c r="H28" s="881"/>
      <c r="I28" s="882"/>
    </row>
    <row r="29" spans="2:9" ht="15.6" x14ac:dyDescent="0.3">
      <c r="B29" s="1003"/>
      <c r="C29" s="1004"/>
      <c r="D29" s="880"/>
      <c r="E29" s="881"/>
      <c r="F29" s="881"/>
      <c r="G29" s="881"/>
      <c r="H29" s="881"/>
      <c r="I29" s="882"/>
    </row>
    <row r="30" spans="2:9" ht="15.6" x14ac:dyDescent="0.3">
      <c r="B30" s="1003"/>
      <c r="C30" s="1004"/>
      <c r="D30" s="880"/>
      <c r="E30" s="881"/>
      <c r="F30" s="881"/>
      <c r="G30" s="881"/>
      <c r="H30" s="881"/>
      <c r="I30" s="882"/>
    </row>
    <row r="31" spans="2:9" ht="15.6" x14ac:dyDescent="0.3">
      <c r="B31" s="1003"/>
      <c r="C31" s="1004"/>
      <c r="D31" s="880"/>
      <c r="E31" s="881"/>
      <c r="F31" s="881"/>
      <c r="G31" s="881"/>
      <c r="H31" s="881"/>
      <c r="I31" s="882"/>
    </row>
    <row r="32" spans="2:9" ht="15.6" x14ac:dyDescent="0.3">
      <c r="B32" s="1003"/>
      <c r="C32" s="1004"/>
      <c r="D32" s="880"/>
      <c r="E32" s="881"/>
      <c r="F32" s="881"/>
      <c r="G32" s="881"/>
      <c r="H32" s="881"/>
      <c r="I32" s="882"/>
    </row>
    <row r="33" spans="2:9" x14ac:dyDescent="0.3">
      <c r="B33" s="890" t="s">
        <v>306</v>
      </c>
      <c r="C33" s="887"/>
      <c r="D33" s="887"/>
      <c r="E33" s="887"/>
      <c r="F33" s="887"/>
      <c r="G33" s="887"/>
      <c r="H33" s="886" t="s">
        <v>307</v>
      </c>
      <c r="I33" s="975"/>
    </row>
    <row r="34" spans="2:9" ht="15.6" x14ac:dyDescent="0.3">
      <c r="B34" s="946"/>
      <c r="C34" s="947"/>
      <c r="D34" s="947"/>
      <c r="E34" s="947"/>
      <c r="F34" s="947"/>
      <c r="G34" s="999"/>
      <c r="H34" s="994"/>
      <c r="I34" s="995"/>
    </row>
    <row r="35" spans="2:9" x14ac:dyDescent="0.3">
      <c r="B35" s="890" t="s">
        <v>145</v>
      </c>
      <c r="C35" s="887"/>
      <c r="D35" s="887"/>
      <c r="E35" s="974"/>
      <c r="F35" s="886" t="s">
        <v>142</v>
      </c>
      <c r="G35" s="974"/>
      <c r="H35" s="100" t="s">
        <v>143</v>
      </c>
      <c r="I35" s="101" t="s">
        <v>144</v>
      </c>
    </row>
    <row r="36" spans="2:9" ht="16.2" thickBot="1" x14ac:dyDescent="0.35">
      <c r="B36" s="888"/>
      <c r="C36" s="889"/>
      <c r="D36" s="889"/>
      <c r="E36" s="1002"/>
      <c r="F36" s="891"/>
      <c r="G36" s="1002"/>
      <c r="H36" s="109"/>
      <c r="I36" s="110"/>
    </row>
    <row r="37" spans="2:9" ht="16.2" thickBot="1" x14ac:dyDescent="0.35">
      <c r="B37" s="826" t="s">
        <v>574</v>
      </c>
      <c r="C37" s="827"/>
      <c r="D37" s="827"/>
      <c r="E37" s="827"/>
      <c r="F37" s="827"/>
      <c r="G37" s="827"/>
      <c r="H37" s="827"/>
      <c r="I37" s="834"/>
    </row>
    <row r="38" spans="2:9" x14ac:dyDescent="0.3">
      <c r="B38" s="1038" t="s">
        <v>490</v>
      </c>
      <c r="C38" s="1039"/>
      <c r="D38" s="748" t="s">
        <v>491</v>
      </c>
      <c r="E38" s="1012" t="s">
        <v>607</v>
      </c>
      <c r="F38" s="1012"/>
      <c r="G38" s="746" t="s">
        <v>592</v>
      </c>
      <c r="H38" s="749" t="s">
        <v>204</v>
      </c>
      <c r="I38" s="747" t="s">
        <v>446</v>
      </c>
    </row>
    <row r="39" spans="2:9" ht="16.2" thickBot="1" x14ac:dyDescent="0.35">
      <c r="B39" s="1017"/>
      <c r="C39" s="1018"/>
      <c r="D39" s="733"/>
      <c r="E39" s="1013"/>
      <c r="F39" s="1013"/>
      <c r="G39" s="696"/>
      <c r="H39" s="765"/>
      <c r="I39" s="744" t="str">
        <f>'Optimize Tool'!T11</f>
        <v>-</v>
      </c>
    </row>
    <row r="40" spans="2:9" ht="16.2" thickBot="1" x14ac:dyDescent="0.35">
      <c r="B40" s="826" t="s">
        <v>548</v>
      </c>
      <c r="C40" s="827"/>
      <c r="D40" s="827"/>
      <c r="E40" s="827"/>
      <c r="F40" s="827"/>
      <c r="G40" s="827"/>
      <c r="H40" s="827"/>
      <c r="I40" s="834"/>
    </row>
    <row r="41" spans="2:9" s="106" customFormat="1" ht="15" customHeight="1" x14ac:dyDescent="0.3">
      <c r="B41" s="979" t="s">
        <v>308</v>
      </c>
      <c r="C41" s="980"/>
      <c r="D41" s="980"/>
      <c r="E41" s="980"/>
      <c r="F41" s="980"/>
      <c r="G41" s="980"/>
      <c r="H41" s="980"/>
      <c r="I41" s="981"/>
    </row>
    <row r="42" spans="2:9" x14ac:dyDescent="0.3">
      <c r="B42" s="982"/>
      <c r="C42" s="983"/>
      <c r="D42" s="983"/>
      <c r="E42" s="983"/>
      <c r="F42" s="983"/>
      <c r="G42" s="983"/>
      <c r="H42" s="983"/>
      <c r="I42" s="984"/>
    </row>
    <row r="43" spans="2:9" x14ac:dyDescent="0.3">
      <c r="B43" s="982"/>
      <c r="C43" s="983"/>
      <c r="D43" s="983"/>
      <c r="E43" s="983"/>
      <c r="F43" s="983"/>
      <c r="G43" s="983"/>
      <c r="H43" s="983"/>
      <c r="I43" s="984"/>
    </row>
    <row r="44" spans="2:9" x14ac:dyDescent="0.3">
      <c r="B44" s="982"/>
      <c r="C44" s="983"/>
      <c r="D44" s="983"/>
      <c r="E44" s="983"/>
      <c r="F44" s="983"/>
      <c r="G44" s="983"/>
      <c r="H44" s="983"/>
      <c r="I44" s="984"/>
    </row>
    <row r="45" spans="2:9" x14ac:dyDescent="0.3">
      <c r="B45" s="985"/>
      <c r="C45" s="986"/>
      <c r="D45" s="986"/>
      <c r="E45" s="986"/>
      <c r="F45" s="986"/>
      <c r="G45" s="986"/>
      <c r="H45" s="986"/>
      <c r="I45" s="987"/>
    </row>
    <row r="46" spans="2:9" x14ac:dyDescent="0.3">
      <c r="B46" s="890" t="s">
        <v>146</v>
      </c>
      <c r="C46" s="887"/>
      <c r="D46" s="887"/>
      <c r="E46" s="943" t="s">
        <v>337</v>
      </c>
      <c r="F46" s="944"/>
      <c r="G46" s="945"/>
      <c r="H46" s="107" t="s">
        <v>147</v>
      </c>
      <c r="I46" s="745" t="s">
        <v>547</v>
      </c>
    </row>
    <row r="47" spans="2:9" ht="15.6" x14ac:dyDescent="0.3">
      <c r="B47" s="946"/>
      <c r="C47" s="947"/>
      <c r="D47" s="947"/>
      <c r="E47" s="994"/>
      <c r="F47" s="947"/>
      <c r="G47" s="999"/>
      <c r="H47" s="108"/>
      <c r="I47" s="501"/>
    </row>
    <row r="48" spans="2:9" x14ac:dyDescent="0.3">
      <c r="B48" s="890" t="s">
        <v>148</v>
      </c>
      <c r="C48" s="887"/>
      <c r="D48" s="887"/>
      <c r="E48" s="886" t="s">
        <v>309</v>
      </c>
      <c r="F48" s="887"/>
      <c r="G48" s="974"/>
      <c r="H48" s="886" t="s">
        <v>299</v>
      </c>
      <c r="I48" s="975"/>
    </row>
    <row r="49" spans="2:9" ht="15.6" x14ac:dyDescent="0.3">
      <c r="B49" s="946"/>
      <c r="C49" s="947"/>
      <c r="D49" s="947"/>
      <c r="E49" s="976"/>
      <c r="F49" s="977"/>
      <c r="G49" s="978"/>
      <c r="H49" s="972"/>
      <c r="I49" s="973"/>
    </row>
    <row r="50" spans="2:9" x14ac:dyDescent="0.3">
      <c r="B50" s="890" t="s">
        <v>145</v>
      </c>
      <c r="C50" s="887"/>
      <c r="D50" s="887"/>
      <c r="E50" s="887"/>
      <c r="F50" s="886" t="s">
        <v>142</v>
      </c>
      <c r="G50" s="974"/>
      <c r="H50" s="100" t="s">
        <v>143</v>
      </c>
      <c r="I50" s="101" t="s">
        <v>144</v>
      </c>
    </row>
    <row r="51" spans="2:9" ht="16.2" thickBot="1" x14ac:dyDescent="0.35">
      <c r="B51" s="946"/>
      <c r="C51" s="947"/>
      <c r="D51" s="947"/>
      <c r="E51" s="947"/>
      <c r="F51" s="994"/>
      <c r="G51" s="999"/>
      <c r="H51" s="102"/>
      <c r="I51" s="104"/>
    </row>
    <row r="52" spans="2:9" ht="16.2" thickBot="1" x14ac:dyDescent="0.35">
      <c r="B52" s="826" t="s">
        <v>549</v>
      </c>
      <c r="C52" s="827"/>
      <c r="D52" s="827"/>
      <c r="E52" s="827"/>
      <c r="F52" s="827"/>
      <c r="G52" s="827"/>
      <c r="H52" s="827"/>
      <c r="I52" s="834"/>
    </row>
    <row r="53" spans="2:9" ht="14.4" customHeight="1" x14ac:dyDescent="0.3">
      <c r="B53" s="979" t="s">
        <v>310</v>
      </c>
      <c r="C53" s="980"/>
      <c r="D53" s="980"/>
      <c r="E53" s="980"/>
      <c r="F53" s="980"/>
      <c r="G53" s="980"/>
      <c r="H53" s="980"/>
      <c r="I53" s="981"/>
    </row>
    <row r="54" spans="2:9" x14ac:dyDescent="0.3">
      <c r="B54" s="982"/>
      <c r="C54" s="983"/>
      <c r="D54" s="983"/>
      <c r="E54" s="983"/>
      <c r="F54" s="983"/>
      <c r="G54" s="983"/>
      <c r="H54" s="983"/>
      <c r="I54" s="984"/>
    </row>
    <row r="55" spans="2:9" x14ac:dyDescent="0.3">
      <c r="B55" s="985"/>
      <c r="C55" s="986"/>
      <c r="D55" s="986"/>
      <c r="E55" s="986"/>
      <c r="F55" s="986"/>
      <c r="G55" s="986"/>
      <c r="H55" s="986"/>
      <c r="I55" s="987"/>
    </row>
    <row r="56" spans="2:9" x14ac:dyDescent="0.3">
      <c r="B56" s="890" t="s">
        <v>252</v>
      </c>
      <c r="C56" s="887"/>
      <c r="D56" s="974"/>
      <c r="E56" s="886" t="s">
        <v>311</v>
      </c>
      <c r="F56" s="887"/>
      <c r="G56" s="974"/>
      <c r="H56" s="924" t="s">
        <v>547</v>
      </c>
      <c r="I56" s="925"/>
    </row>
    <row r="57" spans="2:9" ht="15.6" x14ac:dyDescent="0.3">
      <c r="B57" s="988"/>
      <c r="C57" s="989"/>
      <c r="D57" s="990"/>
      <c r="E57" s="991"/>
      <c r="F57" s="989"/>
      <c r="G57" s="990"/>
      <c r="H57" s="948"/>
      <c r="I57" s="949"/>
    </row>
    <row r="58" spans="2:9" x14ac:dyDescent="0.3">
      <c r="B58" s="890" t="s">
        <v>148</v>
      </c>
      <c r="C58" s="887"/>
      <c r="D58" s="887"/>
      <c r="E58" s="886" t="s">
        <v>309</v>
      </c>
      <c r="F58" s="887"/>
      <c r="G58" s="974"/>
      <c r="H58" s="886" t="s">
        <v>299</v>
      </c>
      <c r="I58" s="975"/>
    </row>
    <row r="59" spans="2:9" ht="15.6" x14ac:dyDescent="0.3">
      <c r="B59" s="946"/>
      <c r="C59" s="947"/>
      <c r="D59" s="947"/>
      <c r="E59" s="976"/>
      <c r="F59" s="977"/>
      <c r="G59" s="978"/>
      <c r="H59" s="972"/>
      <c r="I59" s="973"/>
    </row>
    <row r="60" spans="2:9" x14ac:dyDescent="0.3">
      <c r="B60" s="890" t="s">
        <v>145</v>
      </c>
      <c r="C60" s="887"/>
      <c r="D60" s="887"/>
      <c r="E60" s="887"/>
      <c r="F60" s="886" t="s">
        <v>142</v>
      </c>
      <c r="G60" s="887"/>
      <c r="H60" s="100" t="s">
        <v>143</v>
      </c>
      <c r="I60" s="101" t="s">
        <v>144</v>
      </c>
    </row>
    <row r="61" spans="2:9" ht="16.2" thickBot="1" x14ac:dyDescent="0.35">
      <c r="B61" s="888"/>
      <c r="C61" s="889"/>
      <c r="D61" s="889"/>
      <c r="E61" s="889"/>
      <c r="F61" s="891"/>
      <c r="G61" s="889"/>
      <c r="H61" s="109"/>
      <c r="I61" s="110"/>
    </row>
    <row r="62" spans="2:9" ht="16.2" thickBot="1" x14ac:dyDescent="0.35">
      <c r="B62" s="826" t="s">
        <v>377</v>
      </c>
      <c r="C62" s="827"/>
      <c r="D62" s="827"/>
      <c r="E62" s="827"/>
      <c r="F62" s="827"/>
      <c r="G62" s="828" t="s">
        <v>365</v>
      </c>
      <c r="H62" s="828"/>
      <c r="I62" s="829"/>
    </row>
    <row r="63" spans="2:9" ht="15.6" x14ac:dyDescent="0.3">
      <c r="B63" s="97" t="str">
        <f>Directions!A2</f>
        <v>DT2221     08/2022</v>
      </c>
      <c r="C63" s="168"/>
      <c r="D63" s="563"/>
      <c r="E63" s="563"/>
      <c r="F63" s="563"/>
      <c r="G63" s="563"/>
      <c r="H63" s="563"/>
      <c r="I63" s="660"/>
    </row>
    <row r="64" spans="2:9" ht="15.6" x14ac:dyDescent="0.3">
      <c r="B64" s="892" t="s">
        <v>14</v>
      </c>
      <c r="C64" s="893"/>
      <c r="D64" s="893"/>
      <c r="E64" s="893"/>
      <c r="F64" s="893"/>
      <c r="G64" s="893"/>
      <c r="H64" s="893"/>
      <c r="I64" s="894"/>
    </row>
    <row r="65" spans="2:9" ht="13.2" customHeight="1" x14ac:dyDescent="0.3">
      <c r="B65" s="930" t="s">
        <v>15</v>
      </c>
      <c r="C65" s="924"/>
      <c r="D65" s="924" t="s">
        <v>16</v>
      </c>
      <c r="E65" s="924"/>
      <c r="F65" s="924" t="s">
        <v>17</v>
      </c>
      <c r="G65" s="924"/>
      <c r="H65" s="924" t="s">
        <v>18</v>
      </c>
      <c r="I65" s="925"/>
    </row>
    <row r="66" spans="2:9" ht="13.2" customHeight="1" x14ac:dyDescent="0.3">
      <c r="B66" s="953" t="str">
        <f>IF(ISBLANK(B5),"",B5)</f>
        <v/>
      </c>
      <c r="C66" s="941"/>
      <c r="D66" s="940" t="str">
        <f>IF(ISBLANK(E5),"",E5)</f>
        <v/>
      </c>
      <c r="E66" s="941"/>
      <c r="F66" s="940" t="str">
        <f>IF(ISBLANK(F5),"",F5)</f>
        <v/>
      </c>
      <c r="G66" s="941"/>
      <c r="H66" s="940" t="str">
        <f>IF(ISBLANK(H5),"",H5)</f>
        <v/>
      </c>
      <c r="I66" s="942"/>
    </row>
    <row r="67" spans="2:9" x14ac:dyDescent="0.3">
      <c r="B67" s="930" t="s">
        <v>19</v>
      </c>
      <c r="C67" s="924"/>
      <c r="D67" s="924"/>
      <c r="E67" s="924"/>
      <c r="F67" s="924" t="s">
        <v>20</v>
      </c>
      <c r="G67" s="924"/>
      <c r="H67" s="924"/>
      <c r="I67" s="925"/>
    </row>
    <row r="68" spans="2:9" ht="13.2" customHeight="1" x14ac:dyDescent="0.3">
      <c r="B68" s="954" t="str">
        <f>IF(ISBLANK(B7),"",B7)</f>
        <v/>
      </c>
      <c r="C68" s="922"/>
      <c r="D68" s="922"/>
      <c r="E68" s="922"/>
      <c r="F68" s="922" t="str">
        <f>IF(ISBLANK(F7),"",F7)</f>
        <v/>
      </c>
      <c r="G68" s="922"/>
      <c r="H68" s="922"/>
      <c r="I68" s="923"/>
    </row>
    <row r="69" spans="2:9" x14ac:dyDescent="0.3">
      <c r="B69" s="930" t="s">
        <v>21</v>
      </c>
      <c r="C69" s="924"/>
      <c r="D69" s="924"/>
      <c r="E69" s="924"/>
      <c r="F69" s="924" t="s">
        <v>297</v>
      </c>
      <c r="G69" s="924"/>
      <c r="H69" s="924"/>
      <c r="I69" s="925"/>
    </row>
    <row r="70" spans="2:9" ht="13.2" customHeight="1" thickBot="1" x14ac:dyDescent="0.35">
      <c r="B70" s="955" t="str">
        <f>IF(ISBLANK(B9),"",B9)</f>
        <v/>
      </c>
      <c r="C70" s="926"/>
      <c r="D70" s="926"/>
      <c r="E70" s="926"/>
      <c r="F70" s="926" t="str">
        <f>IF(ISBLANK(F9),"",F9)</f>
        <v/>
      </c>
      <c r="G70" s="926"/>
      <c r="H70" s="926"/>
      <c r="I70" s="927"/>
    </row>
    <row r="71" spans="2:9" ht="13.2" customHeight="1" thickBot="1" x14ac:dyDescent="0.35">
      <c r="B71" s="956" t="s">
        <v>138</v>
      </c>
      <c r="C71" s="957"/>
      <c r="D71" s="957"/>
      <c r="E71" s="957"/>
      <c r="F71" s="957"/>
      <c r="G71" s="957"/>
      <c r="H71" s="957"/>
      <c r="I71" s="958"/>
    </row>
    <row r="72" spans="2:9" ht="13.2" customHeight="1" thickBot="1" x14ac:dyDescent="0.35">
      <c r="B72" s="111"/>
      <c r="C72" s="112"/>
      <c r="D72" s="112"/>
      <c r="E72" s="112"/>
      <c r="F72" s="112"/>
      <c r="G72" s="112"/>
      <c r="H72" s="112"/>
      <c r="I72" s="113"/>
    </row>
    <row r="73" spans="2:9" ht="13.2" customHeight="1" thickBot="1" x14ac:dyDescent="0.35">
      <c r="B73" s="931" t="s">
        <v>314</v>
      </c>
      <c r="C73" s="932"/>
      <c r="D73" s="932"/>
      <c r="E73" s="933"/>
      <c r="G73" s="959" t="s">
        <v>320</v>
      </c>
      <c r="H73" s="960"/>
      <c r="I73" s="961"/>
    </row>
    <row r="74" spans="2:9" ht="13.2" customHeight="1" thickBot="1" x14ac:dyDescent="0.35">
      <c r="B74" s="117" t="s">
        <v>23</v>
      </c>
      <c r="C74" s="934" t="s">
        <v>329</v>
      </c>
      <c r="D74" s="935"/>
      <c r="E74" s="117" t="s">
        <v>171</v>
      </c>
      <c r="G74" s="965" t="s">
        <v>77</v>
      </c>
      <c r="H74" s="962" t="s">
        <v>313</v>
      </c>
      <c r="I74" s="968" t="s">
        <v>321</v>
      </c>
    </row>
    <row r="75" spans="2:9" ht="13.2" customHeight="1" x14ac:dyDescent="0.3">
      <c r="B75" s="118" t="s">
        <v>158</v>
      </c>
      <c r="C75" s="936" t="str">
        <f>'7 Calculation Check'!AB5</f>
        <v>-</v>
      </c>
      <c r="D75" s="937"/>
      <c r="E75" s="119" t="str">
        <f>IF('7 Calculation Check'!AA5=0,"",'7 Calculation Check'!AA5)</f>
        <v>-</v>
      </c>
      <c r="G75" s="966"/>
      <c r="H75" s="963"/>
      <c r="I75" s="929"/>
    </row>
    <row r="76" spans="2:9" ht="13.2" customHeight="1" thickBot="1" x14ac:dyDescent="0.35">
      <c r="B76" s="120" t="s">
        <v>159</v>
      </c>
      <c r="C76" s="938" t="str">
        <f>'7 Calculation Check'!AB6</f>
        <v>-</v>
      </c>
      <c r="D76" s="939"/>
      <c r="E76" s="119" t="str">
        <f>IF('7 Calculation Check'!AA6=0,"",'7 Calculation Check'!AA6)</f>
        <v>-</v>
      </c>
      <c r="G76" s="967"/>
      <c r="H76" s="964"/>
      <c r="I76" s="969"/>
    </row>
    <row r="77" spans="2:9" ht="13.2" customHeight="1" x14ac:dyDescent="0.3">
      <c r="B77" s="120" t="s">
        <v>176</v>
      </c>
      <c r="C77" s="938" t="str">
        <f>'7 Calculation Check'!AB7</f>
        <v>-</v>
      </c>
      <c r="D77" s="939"/>
      <c r="E77" s="119" t="str">
        <f>IF('7 Calculation Check'!AA7=0,"",'7 Calculation Check'!AA7)</f>
        <v>-</v>
      </c>
      <c r="G77" s="928" t="str">
        <f>'7 Calculation Check'!Z28</f>
        <v>-</v>
      </c>
      <c r="H77" s="928" t="str">
        <f>'7 Calculation Check'!AA28</f>
        <v>-</v>
      </c>
      <c r="I77" s="970" t="str">
        <f>'7 Calculation Check'!AB28</f>
        <v>-</v>
      </c>
    </row>
    <row r="78" spans="2:9" ht="15" customHeight="1" x14ac:dyDescent="0.3">
      <c r="B78" s="120" t="s">
        <v>177</v>
      </c>
      <c r="C78" s="938" t="str">
        <f>'7 Calculation Check'!AB8</f>
        <v>-</v>
      </c>
      <c r="D78" s="939"/>
      <c r="E78" s="119" t="str">
        <f>IF('7 Calculation Check'!AA8=0,"",'7 Calculation Check'!AA8)</f>
        <v>-</v>
      </c>
      <c r="G78" s="929"/>
      <c r="H78" s="929"/>
      <c r="I78" s="971"/>
    </row>
    <row r="79" spans="2:9" ht="14.4" customHeight="1" thickBot="1" x14ac:dyDescent="0.35">
      <c r="B79" s="121" t="s">
        <v>178</v>
      </c>
      <c r="C79" s="938" t="str">
        <f>'7 Calculation Check'!AB9</f>
        <v>-</v>
      </c>
      <c r="D79" s="939"/>
      <c r="E79" s="122" t="str">
        <f>IF('7 Calculation Check'!AA9=0,"",'7 Calculation Check'!AA9)</f>
        <v>-</v>
      </c>
      <c r="G79" s="928" t="str">
        <f>'7 Calculation Check'!Z29</f>
        <v>-</v>
      </c>
      <c r="H79" s="928" t="str">
        <f>'7 Calculation Check'!AA29</f>
        <v>-</v>
      </c>
      <c r="I79" s="970" t="str">
        <f>'7 Calculation Check'!AB29</f>
        <v>-</v>
      </c>
    </row>
    <row r="80" spans="2:9" ht="13.2" customHeight="1" thickBot="1" x14ac:dyDescent="0.35">
      <c r="B80" s="859" t="s">
        <v>326</v>
      </c>
      <c r="C80" s="860"/>
      <c r="D80" s="862"/>
      <c r="E80" s="123">
        <f>'2 Aggregate System'!C19</f>
        <v>0</v>
      </c>
      <c r="G80" s="929"/>
      <c r="H80" s="929"/>
      <c r="I80" s="971"/>
    </row>
    <row r="81" spans="2:9" ht="13.2" customHeight="1" x14ac:dyDescent="0.3">
      <c r="B81" s="124"/>
      <c r="G81" s="928" t="str">
        <f>'7 Calculation Check'!Z30</f>
        <v>-</v>
      </c>
      <c r="H81" s="928" t="str">
        <f>'7 Calculation Check'!AA30</f>
        <v>-</v>
      </c>
      <c r="I81" s="970" t="str">
        <f>'7 Calculation Check'!AB30</f>
        <v>-</v>
      </c>
    </row>
    <row r="82" spans="2:9" ht="13.2" customHeight="1" thickBot="1" x14ac:dyDescent="0.35">
      <c r="B82" s="124"/>
      <c r="G82" s="929"/>
      <c r="H82" s="929"/>
      <c r="I82" s="971"/>
    </row>
    <row r="83" spans="2:9" ht="13.2" customHeight="1" thickBot="1" x14ac:dyDescent="0.35">
      <c r="B83" s="959" t="s">
        <v>473</v>
      </c>
      <c r="C83" s="951"/>
      <c r="D83" s="951"/>
      <c r="E83" s="952"/>
      <c r="G83" s="928" t="str">
        <f>'7 Calculation Check'!Z31</f>
        <v>-</v>
      </c>
      <c r="H83" s="928" t="str">
        <f>'7 Calculation Check'!AA31</f>
        <v>-</v>
      </c>
      <c r="I83" s="970" t="str">
        <f>'7 Calculation Check'!AB31</f>
        <v>-</v>
      </c>
    </row>
    <row r="84" spans="2:9" ht="13.2" customHeight="1" thickBot="1" x14ac:dyDescent="0.35">
      <c r="B84" s="123" t="s">
        <v>23</v>
      </c>
      <c r="C84" s="123" t="s">
        <v>63</v>
      </c>
      <c r="D84" s="125" t="s">
        <v>64</v>
      </c>
      <c r="E84" s="123" t="s">
        <v>318</v>
      </c>
      <c r="G84" s="969"/>
      <c r="H84" s="969"/>
      <c r="I84" s="1042"/>
    </row>
    <row r="85" spans="2:9" ht="13.2" customHeight="1" thickBot="1" x14ac:dyDescent="0.35">
      <c r="B85" s="126" t="s">
        <v>67</v>
      </c>
      <c r="C85" s="119" t="str">
        <f>'7 Calculation Check'!Z14</f>
        <v>Cement?</v>
      </c>
      <c r="D85" s="127" t="str">
        <f>'7 Calculation Check'!AA14</f>
        <v>Cement?</v>
      </c>
      <c r="E85" s="657" t="str">
        <f>'7 Calculation Check'!AB14</f>
        <v>Cement?</v>
      </c>
      <c r="I85" s="116"/>
    </row>
    <row r="86" spans="2:9" ht="13.2" customHeight="1" thickBot="1" x14ac:dyDescent="0.35">
      <c r="B86" s="128" t="s">
        <v>68</v>
      </c>
      <c r="C86" s="658" t="str">
        <f>'7 Calculation Check'!Z15</f>
        <v>-</v>
      </c>
      <c r="D86" s="129" t="str">
        <f>'7 Calculation Check'!AA15</f>
        <v>-</v>
      </c>
      <c r="E86" s="658" t="str">
        <f>'7 Calculation Check'!AB15</f>
        <v>-</v>
      </c>
      <c r="G86" s="950" t="s">
        <v>474</v>
      </c>
      <c r="H86" s="951"/>
      <c r="I86" s="952"/>
    </row>
    <row r="87" spans="2:9" ht="13.2" customHeight="1" x14ac:dyDescent="0.3">
      <c r="B87" s="128" t="s">
        <v>69</v>
      </c>
      <c r="C87" s="658" t="str">
        <f>'7 Calculation Check'!Z16</f>
        <v>-</v>
      </c>
      <c r="D87" s="129" t="str">
        <f>'7 Calculation Check'!AA16</f>
        <v>-</v>
      </c>
      <c r="E87" s="658" t="str">
        <f>'7 Calculation Check'!AB16</f>
        <v>-</v>
      </c>
      <c r="G87" s="130" t="s">
        <v>445</v>
      </c>
      <c r="H87" s="131" t="s">
        <v>170</v>
      </c>
      <c r="I87" s="131" t="s">
        <v>171</v>
      </c>
    </row>
    <row r="88" spans="2:9" ht="13.2" customHeight="1" x14ac:dyDescent="0.3">
      <c r="B88" s="128" t="s">
        <v>206</v>
      </c>
      <c r="C88" s="658" t="str">
        <f>'7 Calculation Check'!Z17</f>
        <v>-</v>
      </c>
      <c r="D88" s="129" t="str">
        <f>'7 Calculation Check'!AA17</f>
        <v>-</v>
      </c>
      <c r="E88" s="658" t="str">
        <f>'7 Calculation Check'!AB17</f>
        <v>-</v>
      </c>
      <c r="G88" s="1036" t="str">
        <f>'7 Calculation Check'!Y23</f>
        <v>Municipal</v>
      </c>
      <c r="H88" s="1008" t="str">
        <f>'7 Calculation Check'!Z23</f>
        <v>Source Name?</v>
      </c>
      <c r="I88" s="1010" t="str">
        <f>'7 Calculation Check'!AA23</f>
        <v>Not Applicable</v>
      </c>
    </row>
    <row r="89" spans="2:9" ht="15" customHeight="1" thickBot="1" x14ac:dyDescent="0.35">
      <c r="B89" s="132" t="s">
        <v>208</v>
      </c>
      <c r="C89" s="659" t="str">
        <f>'7 Calculation Check'!Z18</f>
        <v>-</v>
      </c>
      <c r="D89" s="133" t="str">
        <f>'7 Calculation Check'!AA18</f>
        <v>-</v>
      </c>
      <c r="E89" s="659" t="str">
        <f>'7 Calculation Check'!AB18</f>
        <v>-</v>
      </c>
      <c r="G89" s="1037"/>
      <c r="H89" s="1009"/>
      <c r="I89" s="1011"/>
    </row>
    <row r="90" spans="2:9" ht="15" thickBot="1" x14ac:dyDescent="0.35">
      <c r="B90" s="134"/>
      <c r="C90" s="135"/>
      <c r="D90" s="135"/>
      <c r="E90" s="135"/>
      <c r="F90" s="135"/>
      <c r="G90" s="135"/>
      <c r="H90" s="135"/>
      <c r="I90" s="136"/>
    </row>
    <row r="91" spans="2:9" ht="15" thickBot="1" x14ac:dyDescent="0.35">
      <c r="B91" s="111"/>
      <c r="C91" s="112"/>
      <c r="D91" s="112"/>
      <c r="E91" s="137"/>
      <c r="F91" s="137"/>
      <c r="G91" s="137"/>
      <c r="H91" s="137"/>
      <c r="I91" s="138"/>
    </row>
    <row r="92" spans="2:9" ht="15" thickBot="1" x14ac:dyDescent="0.35">
      <c r="B92" s="114"/>
      <c r="C92" s="115"/>
      <c r="D92" s="115"/>
      <c r="F92" s="859" t="s">
        <v>78</v>
      </c>
      <c r="G92" s="860"/>
      <c r="H92" s="860"/>
      <c r="I92" s="862"/>
    </row>
    <row r="93" spans="2:9" x14ac:dyDescent="0.3">
      <c r="B93" s="114"/>
      <c r="C93" s="115"/>
      <c r="D93" s="115"/>
      <c r="F93" s="895" t="s">
        <v>79</v>
      </c>
      <c r="G93" s="1025" t="s">
        <v>64</v>
      </c>
      <c r="H93" s="897" t="s">
        <v>338</v>
      </c>
      <c r="I93" s="899" t="s">
        <v>339</v>
      </c>
    </row>
    <row r="94" spans="2:9" ht="15" thickBot="1" x14ac:dyDescent="0.35">
      <c r="B94" s="114"/>
      <c r="C94" s="115"/>
      <c r="D94" s="115"/>
      <c r="F94" s="896"/>
      <c r="G94" s="1026"/>
      <c r="H94" s="898"/>
      <c r="I94" s="900"/>
    </row>
    <row r="95" spans="2:9" x14ac:dyDescent="0.3">
      <c r="B95" s="114"/>
      <c r="C95" s="115"/>
      <c r="D95" s="115"/>
      <c r="F95" s="661" t="s">
        <v>158</v>
      </c>
      <c r="G95" s="657" t="str">
        <f>IF('2 Aggregate System'!B13=0,"-",'2 Aggregate System'!B13)</f>
        <v>-</v>
      </c>
      <c r="H95" s="665" t="str">
        <f>IF('4 Mix Design'!D14=0,"-",ROUND('4 Mix Design'!D14,0))</f>
        <v>-</v>
      </c>
      <c r="I95" s="139" t="str">
        <f>'7 Calculation Check'!M21</f>
        <v>-</v>
      </c>
    </row>
    <row r="96" spans="2:9" x14ac:dyDescent="0.3">
      <c r="B96" s="114"/>
      <c r="C96" s="115"/>
      <c r="D96" s="115"/>
      <c r="F96" s="662" t="s">
        <v>159</v>
      </c>
      <c r="G96" s="658" t="str">
        <f>IF('2 Aggregate System'!B14=0,"-",'2 Aggregate System'!B14)</f>
        <v>-</v>
      </c>
      <c r="H96" s="666" t="str">
        <f>IF('4 Mix Design'!D15=0,"-",ROUND('4 Mix Design'!D15,0))</f>
        <v>-</v>
      </c>
      <c r="I96" s="140" t="str">
        <f>'7 Calculation Check'!M22</f>
        <v>-</v>
      </c>
    </row>
    <row r="97" spans="2:9" x14ac:dyDescent="0.3">
      <c r="B97" s="114"/>
      <c r="C97" s="115"/>
      <c r="D97" s="115"/>
      <c r="F97" s="662" t="s">
        <v>176</v>
      </c>
      <c r="G97" s="658" t="str">
        <f>IF('2 Aggregate System'!B15=0,"-",'2 Aggregate System'!B15)</f>
        <v>-</v>
      </c>
      <c r="H97" s="666" t="str">
        <f>IF('4 Mix Design'!D16=0,"-",ROUND('4 Mix Design'!D16,0))</f>
        <v>-</v>
      </c>
      <c r="I97" s="140" t="str">
        <f>'7 Calculation Check'!M23</f>
        <v>-</v>
      </c>
    </row>
    <row r="98" spans="2:9" x14ac:dyDescent="0.3">
      <c r="B98" s="114"/>
      <c r="C98" s="115"/>
      <c r="D98" s="115"/>
      <c r="F98" s="662" t="s">
        <v>177</v>
      </c>
      <c r="G98" s="658" t="str">
        <f>IF('2 Aggregate System'!B16=0,"-",'2 Aggregate System'!B16)</f>
        <v>-</v>
      </c>
      <c r="H98" s="666" t="str">
        <f>IF('4 Mix Design'!D17=0,"-",ROUND('4 Mix Design'!D17,0))</f>
        <v>-</v>
      </c>
      <c r="I98" s="140" t="str">
        <f>'7 Calculation Check'!M24</f>
        <v>-</v>
      </c>
    </row>
    <row r="99" spans="2:9" ht="15" thickBot="1" x14ac:dyDescent="0.35">
      <c r="B99" s="114"/>
      <c r="C99" s="115"/>
      <c r="D99" s="115"/>
      <c r="F99" s="663" t="s">
        <v>178</v>
      </c>
      <c r="G99" s="659" t="str">
        <f>IF('2 Aggregate System'!B17=0,"-",'2 Aggregate System'!B17)</f>
        <v>-</v>
      </c>
      <c r="H99" s="667" t="str">
        <f>IF('4 Mix Design'!D18=0,"-",ROUND('4 Mix Design'!D18,0))</f>
        <v>-</v>
      </c>
      <c r="I99" s="143" t="str">
        <f>'7 Calculation Check'!M25</f>
        <v>-</v>
      </c>
    </row>
    <row r="100" spans="2:9" x14ac:dyDescent="0.3">
      <c r="B100" s="114"/>
      <c r="C100" s="115"/>
      <c r="D100" s="115"/>
      <c r="F100" s="661" t="s">
        <v>67</v>
      </c>
      <c r="G100" s="119" t="str">
        <f>_xlfn.CONCAT(C85,"-",D85)</f>
        <v>Cement?-Cement?</v>
      </c>
      <c r="H100" s="668" t="str">
        <f>IF('7 Calculation Check'!K26=0,"-",ROUND('7 Calculation Check'!K26,0))</f>
        <v>-</v>
      </c>
      <c r="I100" s="139" t="str">
        <f>'7 Calculation Check'!M26</f>
        <v>-</v>
      </c>
    </row>
    <row r="101" spans="2:9" x14ac:dyDescent="0.3">
      <c r="B101" s="114"/>
      <c r="C101" s="115"/>
      <c r="D101" s="115"/>
      <c r="F101" s="662" t="s">
        <v>253</v>
      </c>
      <c r="G101" s="658" t="str">
        <f t="shared" ref="G101:G104" si="0">_xlfn.CONCAT(C86,"-",D86)</f>
        <v>---</v>
      </c>
      <c r="H101" s="668" t="str">
        <f>IF('7 Calculation Check'!K27="-","-",ROUND('7 Calculation Check'!K27,0))</f>
        <v>-</v>
      </c>
      <c r="I101" s="140" t="str">
        <f>'7 Calculation Check'!M27</f>
        <v>-</v>
      </c>
    </row>
    <row r="102" spans="2:9" x14ac:dyDescent="0.3">
      <c r="B102" s="114"/>
      <c r="C102" s="115"/>
      <c r="D102" s="115"/>
      <c r="F102" s="662" t="s">
        <v>72</v>
      </c>
      <c r="G102" s="658" t="str">
        <f t="shared" si="0"/>
        <v>---</v>
      </c>
      <c r="H102" s="668" t="str">
        <f>IF('7 Calculation Check'!K28="-","-",ROUND('7 Calculation Check'!K28,0))</f>
        <v>-</v>
      </c>
      <c r="I102" s="140" t="str">
        <f>'7 Calculation Check'!M28</f>
        <v>-</v>
      </c>
    </row>
    <row r="103" spans="2:9" x14ac:dyDescent="0.3">
      <c r="B103" s="114"/>
      <c r="C103" s="115"/>
      <c r="D103" s="115"/>
      <c r="F103" s="662" t="s">
        <v>206</v>
      </c>
      <c r="G103" s="658" t="str">
        <f t="shared" si="0"/>
        <v>---</v>
      </c>
      <c r="H103" s="668" t="str">
        <f>IF('7 Calculation Check'!K29="-","-",ROUND('7 Calculation Check'!K29,0))</f>
        <v>-</v>
      </c>
      <c r="I103" s="140" t="str">
        <f>'7 Calculation Check'!M29</f>
        <v>-</v>
      </c>
    </row>
    <row r="104" spans="2:9" ht="13.2" customHeight="1" x14ac:dyDescent="0.3">
      <c r="B104" s="114"/>
      <c r="C104" s="115"/>
      <c r="D104" s="115"/>
      <c r="F104" s="664" t="s">
        <v>208</v>
      </c>
      <c r="G104" s="658" t="str">
        <f t="shared" si="0"/>
        <v>---</v>
      </c>
      <c r="H104" s="668" t="str">
        <f>IF('7 Calculation Check'!K30="-","-",ROUND('7 Calculation Check'!K30,0))</f>
        <v>-</v>
      </c>
      <c r="I104" s="140" t="str">
        <f>'7 Calculation Check'!M30</f>
        <v>-</v>
      </c>
    </row>
    <row r="105" spans="2:9" ht="15" thickBot="1" x14ac:dyDescent="0.35">
      <c r="B105" s="114"/>
      <c r="C105" s="115"/>
      <c r="D105" s="115"/>
      <c r="E105" s="115"/>
      <c r="F105" s="663" t="s">
        <v>75</v>
      </c>
      <c r="G105" s="598" t="str">
        <f>H88</f>
        <v>Source Name?</v>
      </c>
      <c r="H105" s="671" t="str">
        <f>IF('7 Calculation Check'!$J$40=0,"-",ROUND('7 Calculation Check'!$J$40,0))</f>
        <v>-</v>
      </c>
      <c r="I105" s="141" t="str">
        <f>'7 Calculation Check'!M31</f>
        <v>CM ERROR</v>
      </c>
    </row>
    <row r="106" spans="2:9" ht="15" thickBot="1" x14ac:dyDescent="0.35">
      <c r="B106" s="124"/>
      <c r="F106" s="670"/>
      <c r="G106" s="755" t="s">
        <v>362</v>
      </c>
      <c r="H106" s="144" t="str">
        <f>IF('7 Calculation Check'!$J$32=0,"-",'7 Calculation Check'!$J$32)</f>
        <v>-</v>
      </c>
      <c r="I106" s="141" t="str">
        <f>'7 Calculation Check'!M32</f>
        <v>AIR ?</v>
      </c>
    </row>
    <row r="107" spans="2:9" ht="13.2" customHeight="1" thickBot="1" x14ac:dyDescent="0.35">
      <c r="B107" s="124"/>
      <c r="G107" s="1040" t="s">
        <v>340</v>
      </c>
      <c r="H107" s="1041"/>
      <c r="I107" s="144" t="str">
        <f>IF(OR('4 Mix Design'!P12&lt;&gt;27.2,'Optimize Tool'!P14&lt;&gt;27.2),"PLS USE 27.2",IF(OR(SUM(I95:I105,I106)&lt;=27.15,SUM(I95:I105,I106)&gt;=27.25),"VOL. ERROR",SUM(I95:I105,I106)))</f>
        <v>VOL. ERROR</v>
      </c>
    </row>
    <row r="108" spans="2:9" ht="13.2" customHeight="1" thickBot="1" x14ac:dyDescent="0.35">
      <c r="B108" s="859" t="s">
        <v>53</v>
      </c>
      <c r="C108" s="860"/>
      <c r="D108" s="861"/>
      <c r="E108" s="862"/>
      <c r="G108" s="857" t="s">
        <v>330</v>
      </c>
      <c r="H108" s="858"/>
      <c r="I108" s="498">
        <f>'7 Calculation Check'!E25</f>
        <v>0</v>
      </c>
    </row>
    <row r="109" spans="2:9" ht="15" thickBot="1" x14ac:dyDescent="0.35">
      <c r="B109" s="863" t="s">
        <v>54</v>
      </c>
      <c r="C109" s="865" t="s">
        <v>55</v>
      </c>
      <c r="D109" s="1027" t="s">
        <v>56</v>
      </c>
      <c r="E109" s="1029" t="s">
        <v>49</v>
      </c>
      <c r="G109" s="1021" t="s">
        <v>363</v>
      </c>
      <c r="H109" s="1022"/>
      <c r="I109" s="708" t="str">
        <f>IFERROR('3 Paste Quality'!$B$46,"-")</f>
        <v/>
      </c>
    </row>
    <row r="110" spans="2:9" ht="15" thickBot="1" x14ac:dyDescent="0.35">
      <c r="B110" s="864"/>
      <c r="C110" s="866"/>
      <c r="D110" s="1028"/>
      <c r="E110" s="1030"/>
      <c r="I110" s="116"/>
    </row>
    <row r="111" spans="2:9" ht="15" thickBot="1" x14ac:dyDescent="0.35">
      <c r="B111" s="697" t="s">
        <v>33</v>
      </c>
      <c r="C111" s="698">
        <v>0</v>
      </c>
      <c r="D111" s="699" t="str">
        <f>'7 Calculation Check'!L5</f>
        <v>-</v>
      </c>
      <c r="E111" s="700" t="str">
        <f>'7 Calculation Check'!M5</f>
        <v>-</v>
      </c>
      <c r="G111" s="959" t="s">
        <v>454</v>
      </c>
      <c r="H111" s="951"/>
      <c r="I111" s="952"/>
    </row>
    <row r="112" spans="2:9" ht="15" thickBot="1" x14ac:dyDescent="0.35">
      <c r="B112" s="697" t="s">
        <v>34</v>
      </c>
      <c r="C112" s="701" t="s">
        <v>57</v>
      </c>
      <c r="D112" s="702" t="str">
        <f>'7 Calculation Check'!L6</f>
        <v>-</v>
      </c>
      <c r="E112" s="703" t="str">
        <f>'7 Calculation Check'!M6</f>
        <v>-</v>
      </c>
      <c r="G112" s="669" t="s">
        <v>490</v>
      </c>
      <c r="H112" s="1031" t="str">
        <f>IF(AND(B39=0,I39="PASS"),"HES Mix ID?",IF(B39=0,"-",B39))</f>
        <v>-</v>
      </c>
      <c r="I112" s="1032"/>
    </row>
    <row r="113" spans="2:9" ht="15" thickBot="1" x14ac:dyDescent="0.35">
      <c r="B113" s="697" t="s">
        <v>35</v>
      </c>
      <c r="C113" s="701" t="s">
        <v>58</v>
      </c>
      <c r="D113" s="702" t="str">
        <f>'7 Calculation Check'!L7</f>
        <v>-</v>
      </c>
      <c r="E113" s="703" t="str">
        <f>'7 Calculation Check'!M7</f>
        <v>-</v>
      </c>
      <c r="G113" s="117" t="s">
        <v>492</v>
      </c>
      <c r="H113" s="867" t="str">
        <f>IF(I39="-","-",IF(AND(OR('Optimize Tool'!Q11=TRUE,'Optimize Tool'!R11=TRUE),D39=0),"HES MRS #?",D39))</f>
        <v>-</v>
      </c>
      <c r="I113" s="868"/>
    </row>
    <row r="114" spans="2:9" ht="15" thickBot="1" x14ac:dyDescent="0.35">
      <c r="B114" s="697" t="s">
        <v>36</v>
      </c>
      <c r="C114" s="701" t="s">
        <v>59</v>
      </c>
      <c r="D114" s="702" t="str">
        <f>'7 Calculation Check'!L8</f>
        <v>-</v>
      </c>
      <c r="E114" s="703" t="str">
        <f>'7 Calculation Check'!M8</f>
        <v>-</v>
      </c>
      <c r="G114" s="117" t="s">
        <v>455</v>
      </c>
      <c r="H114" s="1031" t="str">
        <f>IF(AND('Optimize Tool'!Q11=FALSE,'Optimize Tool'!R11=FALSE,OR(B39&gt;0,D39&gt;0)),"Select HES Modification",IF('Optimize Tool'!Q11=TRUE,"Type III Cement",IF(AND('Optimize Tool'!R11=TRUE,'1 Certification'!G39=0),"Add. Cement?",IF(H117="FAIL","FAIL",IF(AND('Optimize Tool'!R11=TRUE,G39&gt;0),_xlfn.CONCAT("Additional Cement: ",'1 Certification'!G39," lbs./cy"),"-")))))</f>
        <v>-</v>
      </c>
      <c r="I114" s="1032"/>
    </row>
    <row r="115" spans="2:9" ht="15" thickBot="1" x14ac:dyDescent="0.35">
      <c r="B115" s="697" t="s">
        <v>37</v>
      </c>
      <c r="C115" s="701" t="s">
        <v>60</v>
      </c>
      <c r="D115" s="702" t="str">
        <f>'7 Calculation Check'!L9</f>
        <v>-</v>
      </c>
      <c r="E115" s="703" t="str">
        <f>'7 Calculation Check'!M9</f>
        <v>-</v>
      </c>
      <c r="G115" s="117" t="s">
        <v>204</v>
      </c>
      <c r="H115" s="867" t="str">
        <f>IF(H39=0,I39,H39)</f>
        <v>-</v>
      </c>
      <c r="I115" s="868"/>
    </row>
    <row r="116" spans="2:9" ht="15" thickBot="1" x14ac:dyDescent="0.35">
      <c r="B116" s="697" t="s">
        <v>38</v>
      </c>
      <c r="C116" s="701" t="s">
        <v>60</v>
      </c>
      <c r="D116" s="702" t="str">
        <f>'7 Calculation Check'!L10</f>
        <v>-</v>
      </c>
      <c r="E116" s="703" t="str">
        <f>'7 Calculation Check'!M10</f>
        <v>-</v>
      </c>
      <c r="G116" s="1033" t="s">
        <v>582</v>
      </c>
      <c r="H116" s="1011"/>
      <c r="I116" s="688" t="str">
        <f>IF(G39=0,"-",IF(AND(I39="-",'Optimize Tool'!R11=FALSE),"-",IF(I39&lt;&gt;"PASS","FAIL",G39+H100)))</f>
        <v>-</v>
      </c>
    </row>
    <row r="117" spans="2:9" ht="15" thickBot="1" x14ac:dyDescent="0.35">
      <c r="B117" s="697" t="s">
        <v>39</v>
      </c>
      <c r="C117" s="701" t="s">
        <v>60</v>
      </c>
      <c r="D117" s="702" t="str">
        <f>'7 Calculation Check'!L11</f>
        <v>-</v>
      </c>
      <c r="E117" s="703" t="str">
        <f>'7 Calculation Check'!M11</f>
        <v>-</v>
      </c>
      <c r="G117" s="500" t="s">
        <v>446</v>
      </c>
      <c r="H117" s="1034" t="str">
        <f>I39</f>
        <v>-</v>
      </c>
      <c r="I117" s="1035"/>
    </row>
    <row r="118" spans="2:9" ht="15" thickBot="1" x14ac:dyDescent="0.35">
      <c r="B118" s="697" t="s">
        <v>40</v>
      </c>
      <c r="C118" s="701" t="s">
        <v>61</v>
      </c>
      <c r="D118" s="702" t="str">
        <f>'7 Calculation Check'!L12</f>
        <v>-</v>
      </c>
      <c r="E118" s="703" t="str">
        <f>'7 Calculation Check'!M12</f>
        <v>-</v>
      </c>
      <c r="I118" s="116"/>
    </row>
    <row r="119" spans="2:9" ht="15" thickBot="1" x14ac:dyDescent="0.35">
      <c r="B119" s="697" t="s">
        <v>41</v>
      </c>
      <c r="C119" s="701" t="s">
        <v>61</v>
      </c>
      <c r="D119" s="702" t="str">
        <f>'7 Calculation Check'!L13</f>
        <v>-</v>
      </c>
      <c r="E119" s="703" t="str">
        <f>'7 Calculation Check'!M13</f>
        <v>-</v>
      </c>
      <c r="G119" s="883" t="s">
        <v>472</v>
      </c>
      <c r="H119" s="884"/>
      <c r="I119" s="885"/>
    </row>
    <row r="120" spans="2:9" ht="15" thickBot="1" x14ac:dyDescent="0.35">
      <c r="B120" s="697" t="s">
        <v>42</v>
      </c>
      <c r="C120" s="701" t="s">
        <v>60</v>
      </c>
      <c r="D120" s="702" t="str">
        <f>'7 Calculation Check'!L14</f>
        <v>-</v>
      </c>
      <c r="E120" s="703" t="str">
        <f>'7 Calculation Check'!M14</f>
        <v>-</v>
      </c>
      <c r="G120" s="117" t="s">
        <v>82</v>
      </c>
      <c r="H120" s="693" t="str">
        <f>'7 Calculation Check'!L50</f>
        <v>CM ERROR</v>
      </c>
      <c r="I120" s="690"/>
    </row>
    <row r="121" spans="2:9" s="142" customFormat="1" ht="15" thickBot="1" x14ac:dyDescent="0.35">
      <c r="B121" s="697" t="s">
        <v>43</v>
      </c>
      <c r="C121" s="701" t="s">
        <v>60</v>
      </c>
      <c r="D121" s="702" t="str">
        <f>'7 Calculation Check'!L15</f>
        <v>-</v>
      </c>
      <c r="E121" s="703" t="str">
        <f>'7 Calculation Check'!M15</f>
        <v>-</v>
      </c>
      <c r="F121"/>
      <c r="G121" s="689" t="s">
        <v>366</v>
      </c>
      <c r="H121" s="694" t="str">
        <f>IF(OR('7 Calculation Check'!D20="Class II",'7 Calculation Check'!D20="Class III"),"Not Applicable",IF(E127="Slip-form",IF('3 Paste Quality'!B35="","Result?",'3 Paste Quality'!B35),IF(E127="Select Placement Method","ERROR","Not Applicable")))</f>
        <v>Result?</v>
      </c>
      <c r="I121" s="691"/>
    </row>
    <row r="122" spans="2:9" s="142" customFormat="1" ht="15" thickBot="1" x14ac:dyDescent="0.35">
      <c r="B122" s="697" t="s">
        <v>44</v>
      </c>
      <c r="C122" s="701" t="s">
        <v>62</v>
      </c>
      <c r="D122" s="702" t="str">
        <f>'7 Calculation Check'!L16</f>
        <v>-</v>
      </c>
      <c r="E122" s="703" t="str">
        <f>'7 Calculation Check'!M16</f>
        <v>-</v>
      </c>
      <c r="G122" s="689" t="s">
        <v>367</v>
      </c>
      <c r="H122" s="695" t="str">
        <f>IF(OR('7 Calculation Check'!D20="Class II",'7 Calculation Check'!D20="Class III"),"Not Applicable",IF('3 Paste Quality'!B34=0,"SAM #?",'3 Paste Quality'!B34))</f>
        <v>SAM #?</v>
      </c>
      <c r="I122" s="692"/>
    </row>
    <row r="123" spans="2:9" s="142" customFormat="1" ht="15" thickBot="1" x14ac:dyDescent="0.35">
      <c r="B123" s="704" t="s">
        <v>45</v>
      </c>
      <c r="C123" s="705" t="s">
        <v>173</v>
      </c>
      <c r="D123" s="706" t="str">
        <f>'7 Calculation Check'!L17</f>
        <v>-</v>
      </c>
      <c r="E123" s="707" t="str">
        <f>'7 Calculation Check'!M17</f>
        <v>-</v>
      </c>
      <c r="I123" s="713"/>
    </row>
    <row r="124" spans="2:9" ht="15" thickBot="1" x14ac:dyDescent="0.35">
      <c r="B124" s="134"/>
      <c r="C124" s="145"/>
      <c r="D124" s="146"/>
      <c r="E124" s="147"/>
      <c r="F124" s="148"/>
      <c r="G124" s="497"/>
      <c r="H124" s="497"/>
      <c r="I124" s="149"/>
    </row>
    <row r="125" spans="2:9" ht="15" thickBot="1" x14ac:dyDescent="0.35">
      <c r="B125" s="114"/>
      <c r="C125" s="115"/>
      <c r="D125" s="115"/>
      <c r="I125" s="150"/>
    </row>
    <row r="126" spans="2:9" ht="13.2" customHeight="1" thickBot="1" x14ac:dyDescent="0.35">
      <c r="B126" s="114"/>
      <c r="C126" s="151" t="s">
        <v>24</v>
      </c>
      <c r="D126" s="152" t="s">
        <v>46</v>
      </c>
      <c r="E126" s="151" t="s">
        <v>204</v>
      </c>
      <c r="F126" s="914" t="s">
        <v>48</v>
      </c>
      <c r="G126" s="915"/>
      <c r="H126" s="151" t="s">
        <v>49</v>
      </c>
      <c r="I126" s="150"/>
    </row>
    <row r="127" spans="2:9" ht="15" customHeight="1" x14ac:dyDescent="0.3">
      <c r="B127" s="114"/>
      <c r="C127" s="153" t="s">
        <v>29</v>
      </c>
      <c r="D127" s="154" t="s">
        <v>50</v>
      </c>
      <c r="E127" s="920" t="str">
        <f>IF('4 Mix Design'!E54=0,"Select Placement Method",'4 Mix Design'!E54)</f>
        <v>Slip-form</v>
      </c>
      <c r="F127" s="916">
        <f>'7 Calculation Check'!K58</f>
        <v>0</v>
      </c>
      <c r="G127" s="917"/>
      <c r="H127" s="672" t="str">
        <f>'7 Calculation Check'!L58</f>
        <v>Fail</v>
      </c>
      <c r="I127" s="150"/>
    </row>
    <row r="128" spans="2:9" ht="14.4" customHeight="1" thickBot="1" x14ac:dyDescent="0.35">
      <c r="B128" s="155"/>
      <c r="C128" s="656" t="s">
        <v>28</v>
      </c>
      <c r="D128" s="156" t="s">
        <v>51</v>
      </c>
      <c r="E128" s="921"/>
      <c r="F128" s="918">
        <f>'7 Calculation Check'!J56</f>
        <v>0</v>
      </c>
      <c r="G128" s="919"/>
      <c r="H128" s="673" t="str">
        <f>'7 Calculation Check'!K56</f>
        <v>Fail</v>
      </c>
      <c r="I128" s="157"/>
    </row>
    <row r="129" spans="2:9" ht="15.6" x14ac:dyDescent="0.3">
      <c r="B129" s="158"/>
      <c r="C129" s="908" t="s">
        <v>279</v>
      </c>
      <c r="D129" s="130" t="s">
        <v>281</v>
      </c>
      <c r="E129" s="657" t="s">
        <v>280</v>
      </c>
      <c r="F129" s="910" t="s">
        <v>278</v>
      </c>
      <c r="G129" s="911"/>
      <c r="H129" s="79"/>
      <c r="I129" s="150"/>
    </row>
    <row r="130" spans="2:9" ht="16.2" thickBot="1" x14ac:dyDescent="0.35">
      <c r="B130" s="114"/>
      <c r="C130" s="909"/>
      <c r="D130" s="656" t="s">
        <v>292</v>
      </c>
      <c r="E130" s="159" t="e">
        <f>'7 Calculation Check'!$J$55</f>
        <v>#VALUE!</v>
      </c>
      <c r="F130" s="912" t="e">
        <f>'7 Calculation Check'!$K$55</f>
        <v>#VALUE!</v>
      </c>
      <c r="G130" s="913"/>
      <c r="H130" s="160"/>
      <c r="I130" s="150"/>
    </row>
    <row r="131" spans="2:9" ht="15" thickBot="1" x14ac:dyDescent="0.35">
      <c r="B131" s="161"/>
      <c r="I131" s="162"/>
    </row>
    <row r="132" spans="2:9" x14ac:dyDescent="0.3">
      <c r="B132" s="163"/>
      <c r="C132" s="164"/>
      <c r="D132" s="164"/>
      <c r="E132" s="164"/>
      <c r="F132" s="164"/>
      <c r="G132" s="164"/>
      <c r="H132" s="164"/>
      <c r="I132" s="165"/>
    </row>
    <row r="133" spans="2:9" ht="15" thickBot="1" x14ac:dyDescent="0.35">
      <c r="B133" s="799" t="s">
        <v>482</v>
      </c>
      <c r="F133" s="166"/>
      <c r="H133" s="166"/>
      <c r="I133" s="167"/>
    </row>
    <row r="134" spans="2:9" x14ac:dyDescent="0.3">
      <c r="B134" s="871"/>
      <c r="C134" s="872"/>
      <c r="D134" s="872"/>
      <c r="E134" s="873"/>
      <c r="F134" s="903" t="s">
        <v>442</v>
      </c>
      <c r="G134" s="906"/>
      <c r="H134" s="906"/>
      <c r="I134" s="167"/>
    </row>
    <row r="135" spans="2:9" ht="14.4" customHeight="1" x14ac:dyDescent="0.3">
      <c r="B135" s="874"/>
      <c r="C135" s="875"/>
      <c r="D135" s="875"/>
      <c r="E135" s="876"/>
      <c r="F135" s="903"/>
      <c r="G135" s="907"/>
      <c r="H135" s="907"/>
      <c r="I135" s="654"/>
    </row>
    <row r="136" spans="2:9" ht="15" customHeight="1" x14ac:dyDescent="0.3">
      <c r="B136" s="874"/>
      <c r="C136" s="875"/>
      <c r="D136" s="875"/>
      <c r="E136" s="876"/>
      <c r="G136" s="904" t="s">
        <v>550</v>
      </c>
      <c r="H136" s="904"/>
      <c r="I136" s="901" t="s">
        <v>13</v>
      </c>
    </row>
    <row r="137" spans="2:9" ht="15" thickBot="1" x14ac:dyDescent="0.35">
      <c r="B137" s="877"/>
      <c r="C137" s="878"/>
      <c r="D137" s="878"/>
      <c r="E137" s="879"/>
      <c r="G137" s="905"/>
      <c r="H137" s="905"/>
      <c r="I137" s="902"/>
    </row>
    <row r="138" spans="2:9" ht="15" thickBot="1" x14ac:dyDescent="0.35">
      <c r="B138" s="134"/>
      <c r="C138" s="135"/>
      <c r="D138" s="135"/>
      <c r="E138" s="135"/>
      <c r="F138" s="869" t="s">
        <v>331</v>
      </c>
      <c r="G138" s="869"/>
      <c r="H138" s="869"/>
      <c r="I138" s="870"/>
    </row>
  </sheetData>
  <sheetProtection selectLockedCells="1"/>
  <mergeCells count="191">
    <mergeCell ref="D109:D110"/>
    <mergeCell ref="E109:E110"/>
    <mergeCell ref="F92:I92"/>
    <mergeCell ref="G111:I111"/>
    <mergeCell ref="H112:I112"/>
    <mergeCell ref="H114:I114"/>
    <mergeCell ref="G116:H116"/>
    <mergeCell ref="H117:I117"/>
    <mergeCell ref="B37:I37"/>
    <mergeCell ref="E47:G47"/>
    <mergeCell ref="G88:G89"/>
    <mergeCell ref="B38:C38"/>
    <mergeCell ref="G107:H107"/>
    <mergeCell ref="I83:I84"/>
    <mergeCell ref="B40:I40"/>
    <mergeCell ref="B41:I45"/>
    <mergeCell ref="B46:D46"/>
    <mergeCell ref="B48:D48"/>
    <mergeCell ref="E48:G48"/>
    <mergeCell ref="H48:I48"/>
    <mergeCell ref="B49:D49"/>
    <mergeCell ref="E49:G49"/>
    <mergeCell ref="H49:I49"/>
    <mergeCell ref="B50:E50"/>
    <mergeCell ref="G1:I1"/>
    <mergeCell ref="B1:F1"/>
    <mergeCell ref="B62:F62"/>
    <mergeCell ref="G62:I62"/>
    <mergeCell ref="G109:H109"/>
    <mergeCell ref="G81:G82"/>
    <mergeCell ref="H81:H82"/>
    <mergeCell ref="I81:I82"/>
    <mergeCell ref="B80:D80"/>
    <mergeCell ref="B19:E19"/>
    <mergeCell ref="F19:G19"/>
    <mergeCell ref="B20:I20"/>
    <mergeCell ref="F21:G21"/>
    <mergeCell ref="B22:D22"/>
    <mergeCell ref="F22:G22"/>
    <mergeCell ref="B24:C24"/>
    <mergeCell ref="B21:D21"/>
    <mergeCell ref="H21:I21"/>
    <mergeCell ref="H33:I33"/>
    <mergeCell ref="B34:G34"/>
    <mergeCell ref="G83:G84"/>
    <mergeCell ref="H83:H84"/>
    <mergeCell ref="B83:E83"/>
    <mergeCell ref="G93:G94"/>
    <mergeCell ref="B10:I10"/>
    <mergeCell ref="H11:I11"/>
    <mergeCell ref="H12:I12"/>
    <mergeCell ref="B5:D5"/>
    <mergeCell ref="B11:G11"/>
    <mergeCell ref="B12:G12"/>
    <mergeCell ref="H88:H89"/>
    <mergeCell ref="I88:I89"/>
    <mergeCell ref="B13:E13"/>
    <mergeCell ref="F13:G13"/>
    <mergeCell ref="E38:F38"/>
    <mergeCell ref="E39:F39"/>
    <mergeCell ref="B32:C32"/>
    <mergeCell ref="B27:C27"/>
    <mergeCell ref="B28:C28"/>
    <mergeCell ref="B29:C29"/>
    <mergeCell ref="B30:C30"/>
    <mergeCell ref="B31:C31"/>
    <mergeCell ref="B23:I23"/>
    <mergeCell ref="F51:G51"/>
    <mergeCell ref="B52:I52"/>
    <mergeCell ref="B39:C39"/>
    <mergeCell ref="H22:I22"/>
    <mergeCell ref="B33:G33"/>
    <mergeCell ref="B14:E14"/>
    <mergeCell ref="F14:G14"/>
    <mergeCell ref="B15:I15"/>
    <mergeCell ref="B17:G17"/>
    <mergeCell ref="H17:I17"/>
    <mergeCell ref="F18:G18"/>
    <mergeCell ref="B25:C25"/>
    <mergeCell ref="B26:C26"/>
    <mergeCell ref="B36:E36"/>
    <mergeCell ref="B35:E35"/>
    <mergeCell ref="F35:G35"/>
    <mergeCell ref="F36:G36"/>
    <mergeCell ref="H34:I34"/>
    <mergeCell ref="B18:E18"/>
    <mergeCell ref="B16:G16"/>
    <mergeCell ref="H16:I16"/>
    <mergeCell ref="D24:I24"/>
    <mergeCell ref="B3:I3"/>
    <mergeCell ref="F4:G4"/>
    <mergeCell ref="H4:I4"/>
    <mergeCell ref="B7:E7"/>
    <mergeCell ref="F7:I7"/>
    <mergeCell ref="B8:E8"/>
    <mergeCell ref="F8:I8"/>
    <mergeCell ref="B4:D4"/>
    <mergeCell ref="B9:E9"/>
    <mergeCell ref="F9:I9"/>
    <mergeCell ref="F5:G5"/>
    <mergeCell ref="H5:I5"/>
    <mergeCell ref="B6:E6"/>
    <mergeCell ref="F6:I6"/>
    <mergeCell ref="H59:I59"/>
    <mergeCell ref="B58:D58"/>
    <mergeCell ref="E58:G58"/>
    <mergeCell ref="H58:I58"/>
    <mergeCell ref="B59:D59"/>
    <mergeCell ref="E59:G59"/>
    <mergeCell ref="F50:G50"/>
    <mergeCell ref="B51:E51"/>
    <mergeCell ref="B53:I55"/>
    <mergeCell ref="B56:D56"/>
    <mergeCell ref="E56:G56"/>
    <mergeCell ref="H56:I56"/>
    <mergeCell ref="B57:D57"/>
    <mergeCell ref="E57:G57"/>
    <mergeCell ref="E46:G46"/>
    <mergeCell ref="B47:D47"/>
    <mergeCell ref="H57:I57"/>
    <mergeCell ref="G86:I86"/>
    <mergeCell ref="C77:D77"/>
    <mergeCell ref="C78:D78"/>
    <mergeCell ref="C79:D79"/>
    <mergeCell ref="B66:C66"/>
    <mergeCell ref="D66:E66"/>
    <mergeCell ref="B67:E67"/>
    <mergeCell ref="B68:E68"/>
    <mergeCell ref="B69:E69"/>
    <mergeCell ref="B70:E70"/>
    <mergeCell ref="B71:I71"/>
    <mergeCell ref="G73:I73"/>
    <mergeCell ref="H74:H76"/>
    <mergeCell ref="G74:G76"/>
    <mergeCell ref="I74:I76"/>
    <mergeCell ref="G79:G80"/>
    <mergeCell ref="H77:H78"/>
    <mergeCell ref="I77:I78"/>
    <mergeCell ref="H79:H80"/>
    <mergeCell ref="I79:I80"/>
    <mergeCell ref="F67:I67"/>
    <mergeCell ref="F68:I68"/>
    <mergeCell ref="F69:I69"/>
    <mergeCell ref="F70:I70"/>
    <mergeCell ref="G77:G78"/>
    <mergeCell ref="B65:C65"/>
    <mergeCell ref="D65:E65"/>
    <mergeCell ref="B73:E73"/>
    <mergeCell ref="C74:D74"/>
    <mergeCell ref="C75:D75"/>
    <mergeCell ref="C76:D76"/>
    <mergeCell ref="F65:G65"/>
    <mergeCell ref="H65:I65"/>
    <mergeCell ref="F66:G66"/>
    <mergeCell ref="H66:I66"/>
    <mergeCell ref="I136:I137"/>
    <mergeCell ref="H113:I113"/>
    <mergeCell ref="F134:F135"/>
    <mergeCell ref="G136:H137"/>
    <mergeCell ref="G134:H135"/>
    <mergeCell ref="C129:C130"/>
    <mergeCell ref="F129:G129"/>
    <mergeCell ref="F130:G130"/>
    <mergeCell ref="F126:G126"/>
    <mergeCell ref="F127:G127"/>
    <mergeCell ref="F128:G128"/>
    <mergeCell ref="E127:E128"/>
    <mergeCell ref="G108:H108"/>
    <mergeCell ref="B108:E108"/>
    <mergeCell ref="B109:B110"/>
    <mergeCell ref="C109:C110"/>
    <mergeCell ref="H115:I115"/>
    <mergeCell ref="F138:I138"/>
    <mergeCell ref="B134:E137"/>
    <mergeCell ref="D25:I25"/>
    <mergeCell ref="D26:I26"/>
    <mergeCell ref="D27:I27"/>
    <mergeCell ref="D28:I28"/>
    <mergeCell ref="D29:I29"/>
    <mergeCell ref="D30:I30"/>
    <mergeCell ref="D31:I31"/>
    <mergeCell ref="D32:I32"/>
    <mergeCell ref="G119:I119"/>
    <mergeCell ref="F60:G60"/>
    <mergeCell ref="B61:E61"/>
    <mergeCell ref="B60:E60"/>
    <mergeCell ref="F61:G61"/>
    <mergeCell ref="B64:I64"/>
    <mergeCell ref="F93:F94"/>
    <mergeCell ref="H93:H94"/>
    <mergeCell ref="I93:I94"/>
  </mergeCells>
  <conditionalFormatting sqref="C85:C89">
    <cfRule type="cellIs" dxfId="155" priority="35" operator="equal">
      <formula>"Manufacturer?"</formula>
    </cfRule>
    <cfRule type="cellIs" dxfId="154" priority="31" operator="equal">
      <formula>"Cement?"</formula>
    </cfRule>
  </conditionalFormatting>
  <conditionalFormatting sqref="C75:D79">
    <cfRule type="cellIs" dxfId="153" priority="29" operator="equal">
      <formula>"Source ID?"</formula>
    </cfRule>
    <cfRule type="cellIs" dxfId="152" priority="30" operator="equal">
      <formula>"Source Name?"</formula>
    </cfRule>
  </conditionalFormatting>
  <conditionalFormatting sqref="D85:D89">
    <cfRule type="cellIs" dxfId="151" priority="36" operator="equal">
      <formula>"Source?"</formula>
    </cfRule>
  </conditionalFormatting>
  <conditionalFormatting sqref="D85:E85">
    <cfRule type="cellIs" dxfId="150" priority="28" operator="equal">
      <formula>"Cement?"</formula>
    </cfRule>
  </conditionalFormatting>
  <conditionalFormatting sqref="D111:E123 E124:F124">
    <cfRule type="cellIs" dxfId="149" priority="49" operator="equal">
      <formula>"CM ERROR"</formula>
    </cfRule>
    <cfRule type="cellIs" dxfId="148" priority="55" operator="equal">
      <formula>"ERROR"</formula>
    </cfRule>
  </conditionalFormatting>
  <conditionalFormatting sqref="E75:E80">
    <cfRule type="cellIs" dxfId="147" priority="39" operator="equal">
      <formula>"Test #?"</formula>
    </cfRule>
    <cfRule type="cellIs" dxfId="146" priority="38" operator="equal">
      <formula>"Source Name?"</formula>
    </cfRule>
  </conditionalFormatting>
  <conditionalFormatting sqref="E85:E89">
    <cfRule type="cellIs" dxfId="145" priority="37" operator="equal">
      <formula>"Classification?"</formula>
    </cfRule>
  </conditionalFormatting>
  <conditionalFormatting sqref="E111:E123 F124">
    <cfRule type="cellIs" dxfId="144" priority="44" operator="equal">
      <formula>"W/CM ERROR"</formula>
    </cfRule>
    <cfRule type="cellIs" dxfId="143" priority="43" operator="equal">
      <formula>"AIR ?"</formula>
    </cfRule>
    <cfRule type="containsText" dxfId="142" priority="61" stopIfTrue="1" operator="containsText" text="Fail">
      <formula>NOT(ISERROR(SEARCH("Fail",E111)))</formula>
    </cfRule>
    <cfRule type="containsText" dxfId="141" priority="62" operator="containsText" text="Pass">
      <formula>NOT(ISERROR(SEARCH("Pass",E111)))</formula>
    </cfRule>
  </conditionalFormatting>
  <conditionalFormatting sqref="E111:E123">
    <cfRule type="cellIs" dxfId="140" priority="11" operator="equal">
      <formula>"ERROR: vp/vv"</formula>
    </cfRule>
  </conditionalFormatting>
  <conditionalFormatting sqref="E127:E128 E130">
    <cfRule type="cellIs" dxfId="139" priority="56" operator="equal">
      <formula>"Select Placement Method"</formula>
    </cfRule>
  </conditionalFormatting>
  <conditionalFormatting sqref="F130:G130">
    <cfRule type="cellIs" dxfId="138" priority="46" operator="equal">
      <formula>"Pass"</formula>
    </cfRule>
    <cfRule type="cellIs" dxfId="137" priority="45" operator="notEqual">
      <formula>"Pass"</formula>
    </cfRule>
  </conditionalFormatting>
  <conditionalFormatting sqref="F127:H128 F129 H129">
    <cfRule type="cellIs" dxfId="136" priority="57" operator="equal">
      <formula>"ERROR"</formula>
    </cfRule>
  </conditionalFormatting>
  <conditionalFormatting sqref="G77:G84">
    <cfRule type="cellIs" dxfId="135" priority="33" operator="equal">
      <formula>"Name?"</formula>
    </cfRule>
  </conditionalFormatting>
  <conditionalFormatting sqref="G88:H89">
    <cfRule type="cellIs" dxfId="134" priority="22" operator="equal">
      <formula>"Source Type?"</formula>
    </cfRule>
  </conditionalFormatting>
  <conditionalFormatting sqref="H77:H84">
    <cfRule type="cellIs" dxfId="133" priority="34" operator="equal">
      <formula>"Type?"</formula>
    </cfRule>
  </conditionalFormatting>
  <conditionalFormatting sqref="H88:H89">
    <cfRule type="cellIs" dxfId="132" priority="24" operator="equal">
      <formula>"Source Name?"</formula>
    </cfRule>
  </conditionalFormatting>
  <conditionalFormatting sqref="H120">
    <cfRule type="cellIs" dxfId="131" priority="50" operator="lessThan">
      <formula>1.25</formula>
    </cfRule>
    <cfRule type="cellIs" dxfId="130" priority="51" operator="equal">
      <formula>"VOID CONT.?"</formula>
    </cfRule>
    <cfRule type="cellIs" dxfId="129" priority="63" operator="greaterThanOrEqual">
      <formula>1.25</formula>
    </cfRule>
  </conditionalFormatting>
  <conditionalFormatting sqref="H121">
    <cfRule type="cellIs" dxfId="128" priority="52" operator="equal">
      <formula>"Not Applicable"</formula>
    </cfRule>
    <cfRule type="cellIs" dxfId="127" priority="53" stopIfTrue="1" operator="greaterThan">
      <formula>2</formula>
    </cfRule>
    <cfRule type="cellIs" dxfId="126" priority="54" operator="lessThanOrEqual">
      <formula>2</formula>
    </cfRule>
  </conditionalFormatting>
  <conditionalFormatting sqref="H122">
    <cfRule type="cellIs" dxfId="125" priority="47" operator="notEqual">
      <formula>"SAM #?"</formula>
    </cfRule>
    <cfRule type="cellIs" dxfId="124" priority="48" operator="equal">
      <formula>"SAM #?"</formula>
    </cfRule>
  </conditionalFormatting>
  <conditionalFormatting sqref="H127:H129">
    <cfRule type="containsBlanks" priority="58" stopIfTrue="1">
      <formula>LEN(TRIM(H127))=0</formula>
    </cfRule>
    <cfRule type="containsText" dxfId="123" priority="59" stopIfTrue="1" operator="containsText" text="Fail">
      <formula>NOT(ISERROR(SEARCH("Fail",H127)))</formula>
    </cfRule>
    <cfRule type="containsText" dxfId="122" priority="60" operator="containsText" text="Pass">
      <formula>NOT(ISERROR(SEARCH("Pass",H127)))</formula>
    </cfRule>
  </conditionalFormatting>
  <conditionalFormatting sqref="H112:I112">
    <cfRule type="cellIs" dxfId="121" priority="16" operator="equal">
      <formula>"HES Mix ID?"</formula>
    </cfRule>
  </conditionalFormatting>
  <conditionalFormatting sqref="H113:I113">
    <cfRule type="cellIs" dxfId="120" priority="9" operator="equal">
      <formula>"HES MRS #?"</formula>
    </cfRule>
  </conditionalFormatting>
  <conditionalFormatting sqref="H114:I114">
    <cfRule type="cellIs" dxfId="119" priority="2" operator="equal">
      <formula>"Add. Cement?"</formula>
    </cfRule>
    <cfRule type="cellIs" dxfId="118" priority="1" operator="equal">
      <formula>"FAIL"</formula>
    </cfRule>
  </conditionalFormatting>
  <conditionalFormatting sqref="H115:I115">
    <cfRule type="cellIs" dxfId="117" priority="3" operator="equal">
      <formula>"Placement Method?"</formula>
    </cfRule>
  </conditionalFormatting>
  <conditionalFormatting sqref="H117:I117">
    <cfRule type="cellIs" dxfId="116" priority="13" operator="equal">
      <formula>"PASS"</formula>
    </cfRule>
    <cfRule type="cellIs" dxfId="115" priority="14" operator="equal">
      <formula>"FAIL"</formula>
    </cfRule>
    <cfRule type="cellIs" dxfId="114" priority="15" operator="equal">
      <formula>"Select One Option"</formula>
    </cfRule>
    <cfRule type="cellIs" dxfId="113" priority="5" operator="equal">
      <formula>"Remove Add. Cement"</formula>
    </cfRule>
    <cfRule type="cellIs" dxfId="112" priority="6" operator="equal">
      <formula>"HES Modification?"</formula>
    </cfRule>
    <cfRule type="cellIs" dxfId="111" priority="12" operator="equal">
      <formula>"Enter Add. Cement"</formula>
    </cfRule>
  </conditionalFormatting>
  <conditionalFormatting sqref="I39">
    <cfRule type="cellIs" dxfId="110" priority="20" operator="equal">
      <formula>"PASS"</formula>
    </cfRule>
    <cfRule type="cellIs" dxfId="109" priority="19" operator="equal">
      <formula>"FAIL"</formula>
    </cfRule>
    <cfRule type="cellIs" dxfId="108" priority="18" operator="equal">
      <formula>"Select One Option"</formula>
    </cfRule>
    <cfRule type="cellIs" dxfId="107" priority="17" operator="equal">
      <formula>"Enter Add. Cement"</formula>
    </cfRule>
    <cfRule type="cellIs" dxfId="106" priority="8" operator="equal">
      <formula>"HES Modification?"</formula>
    </cfRule>
    <cfRule type="cellIs" dxfId="105" priority="7" operator="equal">
      <formula>"Remove Add. Cement"</formula>
    </cfRule>
    <cfRule type="cellIs" dxfId="104" priority="4" operator="equal">
      <formula>"Placement Method?"</formula>
    </cfRule>
  </conditionalFormatting>
  <conditionalFormatting sqref="I77:I84">
    <cfRule type="cellIs" dxfId="103" priority="32" operator="equal">
      <formula>"Dosage?"</formula>
    </cfRule>
  </conditionalFormatting>
  <conditionalFormatting sqref="I88:I89">
    <cfRule type="cellIs" dxfId="102" priority="21" operator="equal">
      <formula>"Test Number?"</formula>
    </cfRule>
  </conditionalFormatting>
  <conditionalFormatting sqref="I100:I105">
    <cfRule type="cellIs" dxfId="101" priority="27" operator="equal">
      <formula>"CM ERROR"</formula>
    </cfRule>
  </conditionalFormatting>
  <conditionalFormatting sqref="I106">
    <cfRule type="cellIs" dxfId="100" priority="40" operator="equal">
      <formula>"AIR ?"</formula>
    </cfRule>
  </conditionalFormatting>
  <conditionalFormatting sqref="I107">
    <cfRule type="cellIs" dxfId="99" priority="25" operator="equal">
      <formula>"VOL. ERROR"</formula>
    </cfRule>
    <cfRule type="cellIs" dxfId="98" priority="26" operator="equal">
      <formula>"PLS USE 27.2"</formula>
    </cfRule>
  </conditionalFormatting>
  <conditionalFormatting sqref="I116">
    <cfRule type="cellIs" dxfId="97" priority="10" operator="equal">
      <formula>"FAIL"</formula>
    </cfRule>
  </conditionalFormatting>
  <printOptions horizontalCentered="1"/>
  <pageMargins left="0.25" right="0.25" top="0.75" bottom="0.75" header="0.3" footer="0.3"/>
  <pageSetup scale="61" fitToHeight="0" orientation="portrait" r:id="rId1"/>
  <headerFooter>
    <oddFooter>&amp;L&amp;9&amp;A&amp;C&amp;9&amp;P of &amp;N&amp;R&amp;9&amp;F</oddFooter>
  </headerFooter>
  <rowBreaks count="1" manualBreakCount="1">
    <brk id="61" max="9" man="1"/>
  </rowBreaks>
  <ignoredErrors>
    <ignoredError sqref="D66" 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6169" r:id="rId4" name="Check Box 25">
              <controlPr defaultSize="0" autoFill="0" autoLine="0" autoPict="0">
                <anchor moveWithCells="1">
                  <from>
                    <xdr:col>1</xdr:col>
                    <xdr:colOff>0</xdr:colOff>
                    <xdr:row>123</xdr:row>
                    <xdr:rowOff>152400</xdr:rowOff>
                  </from>
                  <to>
                    <xdr:col>2</xdr:col>
                    <xdr:colOff>670560</xdr:colOff>
                    <xdr:row>125</xdr:row>
                    <xdr:rowOff>30480</xdr:rowOff>
                  </to>
                </anchor>
              </controlPr>
            </control>
          </mc:Choice>
        </mc:AlternateContent>
        <mc:AlternateContent xmlns:mc="http://schemas.openxmlformats.org/markup-compatibility/2006">
          <mc:Choice Requires="x14">
            <control shapeId="6170" r:id="rId5" name="Check Box 26">
              <controlPr defaultSize="0" autoFill="0" autoLine="0" autoPict="0">
                <anchor moveWithCells="1">
                  <from>
                    <xdr:col>1</xdr:col>
                    <xdr:colOff>0</xdr:colOff>
                    <xdr:row>89</xdr:row>
                    <xdr:rowOff>152400</xdr:rowOff>
                  </from>
                  <to>
                    <xdr:col>3</xdr:col>
                    <xdr:colOff>632460</xdr:colOff>
                    <xdr:row>91</xdr:row>
                    <xdr:rowOff>30480</xdr:rowOff>
                  </to>
                </anchor>
              </controlPr>
            </control>
          </mc:Choice>
        </mc:AlternateContent>
        <mc:AlternateContent xmlns:mc="http://schemas.openxmlformats.org/markup-compatibility/2006">
          <mc:Choice Requires="x14">
            <control shapeId="6171" r:id="rId6" name="Check Box 27">
              <controlPr defaultSize="0" autoFill="0" autoLine="0" autoPict="0">
                <anchor moveWithCells="1">
                  <from>
                    <xdr:col>8</xdr:col>
                    <xdr:colOff>15240</xdr:colOff>
                    <xdr:row>118</xdr:row>
                    <xdr:rowOff>182880</xdr:rowOff>
                  </from>
                  <to>
                    <xdr:col>9</xdr:col>
                    <xdr:colOff>441960</xdr:colOff>
                    <xdr:row>119</xdr:row>
                    <xdr:rowOff>190500</xdr:rowOff>
                  </to>
                </anchor>
              </controlPr>
            </control>
          </mc:Choice>
        </mc:AlternateContent>
        <mc:AlternateContent xmlns:mc="http://schemas.openxmlformats.org/markup-compatibility/2006">
          <mc:Choice Requires="x14">
            <control shapeId="6172" r:id="rId7" name="Check Box 28">
              <controlPr defaultSize="0" autoFill="0" autoLine="0" autoPict="0">
                <anchor moveWithCells="1">
                  <from>
                    <xdr:col>8</xdr:col>
                    <xdr:colOff>15240</xdr:colOff>
                    <xdr:row>120</xdr:row>
                    <xdr:rowOff>22860</xdr:rowOff>
                  </from>
                  <to>
                    <xdr:col>10</xdr:col>
                    <xdr:colOff>129540</xdr:colOff>
                    <xdr:row>120</xdr:row>
                    <xdr:rowOff>182880</xdr:rowOff>
                  </to>
                </anchor>
              </controlPr>
            </control>
          </mc:Choice>
        </mc:AlternateContent>
        <mc:AlternateContent xmlns:mc="http://schemas.openxmlformats.org/markup-compatibility/2006">
          <mc:Choice Requires="x14">
            <control shapeId="6173" r:id="rId8" name="Check Box 29">
              <controlPr defaultSize="0" autoFill="0" autoLine="0" autoPict="0">
                <anchor moveWithCells="1">
                  <from>
                    <xdr:col>8</xdr:col>
                    <xdr:colOff>15240</xdr:colOff>
                    <xdr:row>121</xdr:row>
                    <xdr:rowOff>15240</xdr:rowOff>
                  </from>
                  <to>
                    <xdr:col>10</xdr:col>
                    <xdr:colOff>114300</xdr:colOff>
                    <xdr:row>121</xdr:row>
                    <xdr:rowOff>182880</xdr:rowOff>
                  </to>
                </anchor>
              </controlPr>
            </control>
          </mc:Choice>
        </mc:AlternateContent>
        <mc:AlternateContent xmlns:mc="http://schemas.openxmlformats.org/markup-compatibility/2006">
          <mc:Choice Requires="x14">
            <control shapeId="6174" r:id="rId9" name="Check Box 30">
              <controlPr defaultSize="0" autoFill="0" autoLine="0" autoPict="0">
                <anchor moveWithCells="1">
                  <from>
                    <xdr:col>1</xdr:col>
                    <xdr:colOff>0</xdr:colOff>
                    <xdr:row>130</xdr:row>
                    <xdr:rowOff>160020</xdr:rowOff>
                  </from>
                  <to>
                    <xdr:col>3</xdr:col>
                    <xdr:colOff>861060</xdr:colOff>
                    <xdr:row>132</xdr:row>
                    <xdr:rowOff>45720</xdr:rowOff>
                  </to>
                </anchor>
              </controlPr>
            </control>
          </mc:Choice>
        </mc:AlternateContent>
        <mc:AlternateContent xmlns:mc="http://schemas.openxmlformats.org/markup-compatibility/2006">
          <mc:Choice Requires="x14">
            <control shapeId="6188" r:id="rId10" name="Check Box 44">
              <controlPr defaultSize="0" autoFill="0" autoLine="0" autoPict="0">
                <anchor moveWithCells="1">
                  <from>
                    <xdr:col>4</xdr:col>
                    <xdr:colOff>22860</xdr:colOff>
                    <xdr:row>38</xdr:row>
                    <xdr:rowOff>0</xdr:rowOff>
                  </from>
                  <to>
                    <xdr:col>4</xdr:col>
                    <xdr:colOff>990600</xdr:colOff>
                    <xdr:row>38</xdr:row>
                    <xdr:rowOff>190500</xdr:rowOff>
                  </to>
                </anchor>
              </controlPr>
            </control>
          </mc:Choice>
        </mc:AlternateContent>
        <mc:AlternateContent xmlns:mc="http://schemas.openxmlformats.org/markup-compatibility/2006">
          <mc:Choice Requires="x14">
            <control shapeId="6189" r:id="rId11" name="Check Box 45">
              <controlPr defaultSize="0" autoFill="0" autoLine="0" autoPict="0">
                <anchor moveWithCells="1">
                  <from>
                    <xdr:col>4</xdr:col>
                    <xdr:colOff>990600</xdr:colOff>
                    <xdr:row>38</xdr:row>
                    <xdr:rowOff>22860</xdr:rowOff>
                  </from>
                  <to>
                    <xdr:col>5</xdr:col>
                    <xdr:colOff>868680</xdr:colOff>
                    <xdr:row>38</xdr:row>
                    <xdr:rowOff>182880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E354E4F1-1217-4819-A718-ECF7195118F5}">
          <x14:formula1>
            <xm:f>'6 Agg Analysis'!$AG$42:$AG$44</xm:f>
          </x14:formula1>
          <xm:sqref>H39</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DD2F4-0284-4D4F-ACEE-44734EF69FD5}">
  <sheetPr>
    <pageSetUpPr fitToPage="1"/>
  </sheetPr>
  <dimension ref="B1:M192"/>
  <sheetViews>
    <sheetView tabSelected="1" workbookViewId="0">
      <selection sqref="A1:XFD1048576"/>
    </sheetView>
  </sheetViews>
  <sheetFormatPr defaultColWidth="8.6640625" defaultRowHeight="14.4" x14ac:dyDescent="0.3"/>
  <cols>
    <col min="1" max="1" width="8.5546875" customWidth="1"/>
    <col min="2" max="2" width="11.6640625" customWidth="1"/>
    <col min="3" max="3" width="19.88671875" customWidth="1"/>
    <col min="4" max="4" width="21.6640625" customWidth="1"/>
    <col min="5" max="5" width="19.33203125" customWidth="1"/>
    <col min="6" max="6" width="15.6640625" customWidth="1"/>
    <col min="7" max="7" width="24.44140625" bestFit="1" customWidth="1"/>
    <col min="8" max="8" width="15.5546875" customWidth="1"/>
    <col min="9" max="9" width="17.6640625" customWidth="1"/>
    <col min="10" max="10" width="8.5546875" customWidth="1"/>
    <col min="11" max="11" width="8.88671875" customWidth="1"/>
  </cols>
  <sheetData>
    <row r="1" spans="2:12" ht="16.2" thickBot="1" x14ac:dyDescent="0.35">
      <c r="B1" s="826" t="s">
        <v>377</v>
      </c>
      <c r="C1" s="827"/>
      <c r="D1" s="827"/>
      <c r="E1" s="827"/>
      <c r="F1" s="827"/>
      <c r="G1" s="828" t="s">
        <v>365</v>
      </c>
      <c r="H1" s="828"/>
      <c r="I1" s="829"/>
    </row>
    <row r="2" spans="2:12" ht="16.2" customHeight="1" x14ac:dyDescent="0.3">
      <c r="B2" s="1437" t="e">
        <f>[1]Directions!#REF!</f>
        <v>#REF!</v>
      </c>
      <c r="C2" s="1438"/>
      <c r="D2" s="1438"/>
      <c r="E2" s="1438"/>
      <c r="F2" s="1438"/>
      <c r="G2" s="1438"/>
      <c r="H2" s="1438"/>
      <c r="I2" s="1439"/>
    </row>
    <row r="3" spans="2:12" ht="15.6" x14ac:dyDescent="0.3">
      <c r="B3" s="1440" t="s">
        <v>722</v>
      </c>
      <c r="C3" s="1441"/>
      <c r="D3" s="1441" t="str">
        <f>IF(E10&gt;0,E10,"")</f>
        <v/>
      </c>
      <c r="E3" s="1442"/>
      <c r="F3" s="1442"/>
      <c r="G3" s="1443"/>
      <c r="H3" s="1443"/>
      <c r="I3" s="1444"/>
    </row>
    <row r="4" spans="2:12" ht="15.6" x14ac:dyDescent="0.3">
      <c r="B4" s="1440" t="s">
        <v>723</v>
      </c>
      <c r="C4" s="1442"/>
      <c r="D4" s="1441" t="str">
        <f>IF(E47&gt;0,E47,"")</f>
        <v/>
      </c>
      <c r="E4" s="1442"/>
      <c r="F4" s="1442"/>
      <c r="G4" s="1443"/>
      <c r="H4" s="1443"/>
      <c r="I4" s="1444"/>
    </row>
    <row r="5" spans="2:12" ht="15.6" x14ac:dyDescent="0.3">
      <c r="B5" s="1440" t="s">
        <v>724</v>
      </c>
      <c r="C5" s="1442"/>
      <c r="D5" s="1441" t="str">
        <f>IF(E84&gt;0,E84,"")</f>
        <v/>
      </c>
      <c r="E5" s="1442"/>
      <c r="F5" s="1442"/>
      <c r="G5" s="1443"/>
      <c r="H5" s="1443"/>
      <c r="I5" s="1444"/>
    </row>
    <row r="6" spans="2:12" ht="15.6" x14ac:dyDescent="0.3">
      <c r="B6" s="1440" t="s">
        <v>725</v>
      </c>
      <c r="C6" s="1442"/>
      <c r="D6" s="1441" t="str">
        <f>IF(E121&gt;0,E121,"")</f>
        <v/>
      </c>
      <c r="E6" s="1442"/>
      <c r="F6" s="1442"/>
      <c r="G6" s="1443"/>
      <c r="H6" s="1443"/>
      <c r="I6" s="1444"/>
    </row>
    <row r="7" spans="2:12" ht="16.2" customHeight="1" thickBot="1" x14ac:dyDescent="0.35">
      <c r="B7" s="1445" t="s">
        <v>726</v>
      </c>
      <c r="C7" s="1446"/>
      <c r="D7" s="1441" t="str">
        <f>IF(E158&gt;0,E158,"")</f>
        <v/>
      </c>
      <c r="E7" s="1446"/>
      <c r="F7" s="1446"/>
      <c r="G7" s="1446"/>
      <c r="H7" s="1446"/>
      <c r="I7" s="1447"/>
    </row>
    <row r="8" spans="2:12" ht="16.2" thickBot="1" x14ac:dyDescent="0.35">
      <c r="B8" s="826" t="s">
        <v>727</v>
      </c>
      <c r="C8" s="827"/>
      <c r="D8" s="827"/>
      <c r="E8" s="827"/>
      <c r="F8" s="827"/>
      <c r="G8" s="827"/>
      <c r="H8" s="827"/>
      <c r="I8" s="834"/>
    </row>
    <row r="9" spans="2:12" x14ac:dyDescent="0.3">
      <c r="B9" s="890" t="s">
        <v>612</v>
      </c>
      <c r="C9" s="887"/>
      <c r="D9" s="974"/>
      <c r="E9" s="99" t="s">
        <v>619</v>
      </c>
      <c r="F9" s="924" t="s">
        <v>623</v>
      </c>
      <c r="G9" s="924"/>
      <c r="H9" s="924" t="s">
        <v>629</v>
      </c>
      <c r="I9" s="925"/>
    </row>
    <row r="10" spans="2:12" ht="15.6" x14ac:dyDescent="0.3">
      <c r="B10" s="946"/>
      <c r="C10" s="947"/>
      <c r="D10" s="999"/>
      <c r="E10" s="1448"/>
      <c r="F10" s="994"/>
      <c r="G10" s="999"/>
      <c r="H10" s="1449"/>
      <c r="I10" s="995"/>
    </row>
    <row r="11" spans="2:12" x14ac:dyDescent="0.3">
      <c r="B11" s="890" t="s">
        <v>631</v>
      </c>
      <c r="C11" s="974"/>
      <c r="D11" s="886" t="s">
        <v>633</v>
      </c>
      <c r="E11" s="974"/>
      <c r="F11" s="886" t="s">
        <v>638</v>
      </c>
      <c r="G11" s="974"/>
      <c r="H11" s="886" t="s">
        <v>647</v>
      </c>
      <c r="I11" s="975"/>
    </row>
    <row r="12" spans="2:12" x14ac:dyDescent="0.3">
      <c r="B12" s="1450"/>
      <c r="C12" s="1451"/>
      <c r="D12" s="1451"/>
      <c r="E12" s="1451"/>
      <c r="F12" s="1451"/>
      <c r="G12" s="1451"/>
      <c r="H12" s="1451"/>
      <c r="I12" s="1452"/>
    </row>
    <row r="13" spans="2:12" x14ac:dyDescent="0.3">
      <c r="B13" s="930" t="s">
        <v>649</v>
      </c>
      <c r="C13" s="924"/>
      <c r="D13" s="924"/>
      <c r="E13" s="924"/>
      <c r="F13" s="924" t="s">
        <v>728</v>
      </c>
      <c r="G13" s="924"/>
      <c r="H13" s="924"/>
      <c r="I13" s="925"/>
    </row>
    <row r="14" spans="2:12" ht="15.6" x14ac:dyDescent="0.3">
      <c r="B14" s="1450"/>
      <c r="C14" s="1453"/>
      <c r="D14" s="1454"/>
      <c r="E14" s="999"/>
      <c r="F14" s="1451"/>
      <c r="G14" s="1453"/>
      <c r="H14" s="1454"/>
      <c r="I14" s="995"/>
    </row>
    <row r="15" spans="2:12" ht="15.6" x14ac:dyDescent="0.3">
      <c r="B15" s="1455"/>
      <c r="C15" s="1456"/>
      <c r="D15" s="1457"/>
      <c r="E15" s="1018"/>
      <c r="F15" s="1013"/>
      <c r="G15" s="1456"/>
      <c r="H15" s="1457"/>
      <c r="I15" s="1458"/>
      <c r="L15" s="1459"/>
    </row>
    <row r="16" spans="2:12" ht="15.6" x14ac:dyDescent="0.3">
      <c r="B16" s="1455"/>
      <c r="C16" s="1456"/>
      <c r="D16" s="1457"/>
      <c r="E16" s="1018"/>
      <c r="F16" s="1013"/>
      <c r="G16" s="1456"/>
      <c r="H16" s="1457"/>
      <c r="I16" s="1458"/>
    </row>
    <row r="17" spans="2:13" ht="15.6" x14ac:dyDescent="0.3">
      <c r="B17" s="1455"/>
      <c r="C17" s="1456"/>
      <c r="D17" s="1457"/>
      <c r="E17" s="1018"/>
      <c r="F17" s="1013"/>
      <c r="G17" s="1456"/>
      <c r="H17" s="1457"/>
      <c r="I17" s="1458"/>
      <c r="L17" s="1460"/>
      <c r="M17" s="1460"/>
    </row>
    <row r="18" spans="2:13" ht="15.6" x14ac:dyDescent="0.3">
      <c r="B18" s="1455"/>
      <c r="C18" s="1456"/>
      <c r="D18" s="1457"/>
      <c r="E18" s="1018"/>
      <c r="F18" s="1013"/>
      <c r="G18" s="1456"/>
      <c r="H18" s="1457"/>
      <c r="I18" s="1458"/>
    </row>
    <row r="19" spans="2:13" ht="15.6" x14ac:dyDescent="0.3">
      <c r="B19" s="1455"/>
      <c r="C19" s="1456"/>
      <c r="D19" s="1457"/>
      <c r="E19" s="1018"/>
      <c r="F19" s="1013"/>
      <c r="G19" s="1456"/>
      <c r="H19" s="1457"/>
      <c r="I19" s="1458"/>
    </row>
    <row r="20" spans="2:13" ht="15.6" x14ac:dyDescent="0.3">
      <c r="B20" s="1455"/>
      <c r="C20" s="1456"/>
      <c r="D20" s="1457"/>
      <c r="E20" s="1018"/>
      <c r="F20" s="1461"/>
      <c r="G20" s="1462"/>
      <c r="H20" s="1462"/>
      <c r="I20" s="1463"/>
    </row>
    <row r="21" spans="2:13" ht="15.6" x14ac:dyDescent="0.3">
      <c r="B21" s="1455"/>
      <c r="C21" s="1456"/>
      <c r="D21" s="1457"/>
      <c r="E21" s="1018"/>
      <c r="F21" s="1464"/>
      <c r="G21" s="1465"/>
      <c r="H21" s="1465"/>
      <c r="I21" s="1466"/>
    </row>
    <row r="22" spans="2:13" ht="15.6" customHeight="1" x14ac:dyDescent="0.3">
      <c r="B22" s="1467" t="s">
        <v>729</v>
      </c>
      <c r="C22" s="1468"/>
      <c r="D22" s="1468"/>
      <c r="E22" s="1468"/>
      <c r="F22" s="1468"/>
      <c r="G22" s="1468"/>
      <c r="H22" s="1468"/>
      <c r="I22" s="1469"/>
    </row>
    <row r="23" spans="2:13" x14ac:dyDescent="0.3">
      <c r="B23" s="1470" t="s">
        <v>23</v>
      </c>
      <c r="C23" s="1471" t="s">
        <v>170</v>
      </c>
      <c r="D23" s="1472" t="s">
        <v>175</v>
      </c>
      <c r="E23" s="1472" t="s">
        <v>174</v>
      </c>
      <c r="F23" s="1471" t="s">
        <v>25</v>
      </c>
      <c r="G23" s="1471" t="s">
        <v>157</v>
      </c>
      <c r="H23" s="1471" t="s">
        <v>26</v>
      </c>
      <c r="I23" s="1473" t="s">
        <v>730</v>
      </c>
    </row>
    <row r="24" spans="2:13" x14ac:dyDescent="0.3">
      <c r="B24" s="1474" t="s">
        <v>158</v>
      </c>
      <c r="C24" s="1475"/>
      <c r="D24" s="1476"/>
      <c r="E24" s="1476"/>
      <c r="F24" s="1477"/>
      <c r="G24" s="1477"/>
      <c r="H24" s="1505">
        <f>F24*(1+(G24/100))</f>
        <v>0</v>
      </c>
      <c r="I24" s="1478"/>
    </row>
    <row r="25" spans="2:13" x14ac:dyDescent="0.3">
      <c r="B25" s="1474" t="s">
        <v>159</v>
      </c>
      <c r="C25" s="1475"/>
      <c r="D25" s="1476"/>
      <c r="E25" s="1476"/>
      <c r="F25" s="1477"/>
      <c r="G25" s="1477"/>
      <c r="H25" s="1505">
        <f t="shared" ref="H25:H28" si="0">F25*(1+(G25/100))</f>
        <v>0</v>
      </c>
      <c r="I25" s="1478"/>
    </row>
    <row r="26" spans="2:13" x14ac:dyDescent="0.3">
      <c r="B26" s="1474" t="s">
        <v>176</v>
      </c>
      <c r="C26" s="1475"/>
      <c r="D26" s="1476"/>
      <c r="E26" s="1476"/>
      <c r="F26" s="1477"/>
      <c r="G26" s="1477"/>
      <c r="H26" s="1505">
        <f t="shared" si="0"/>
        <v>0</v>
      </c>
      <c r="I26" s="1478"/>
    </row>
    <row r="27" spans="2:13" x14ac:dyDescent="0.3">
      <c r="B27" s="1474" t="s">
        <v>177</v>
      </c>
      <c r="C27" s="1475"/>
      <c r="D27" s="1476"/>
      <c r="E27" s="1476"/>
      <c r="F27" s="1477"/>
      <c r="G27" s="1477"/>
      <c r="H27" s="1505">
        <f t="shared" si="0"/>
        <v>0</v>
      </c>
      <c r="I27" s="1478"/>
    </row>
    <row r="28" spans="2:13" x14ac:dyDescent="0.3">
      <c r="B28" s="1474" t="s">
        <v>178</v>
      </c>
      <c r="C28" s="785"/>
      <c r="D28" s="1479"/>
      <c r="E28" s="1479"/>
      <c r="F28" s="1480"/>
      <c r="G28" s="1480"/>
      <c r="H28" s="1505">
        <f t="shared" si="0"/>
        <v>0</v>
      </c>
      <c r="I28" s="1478"/>
    </row>
    <row r="29" spans="2:13" x14ac:dyDescent="0.3">
      <c r="B29" s="890" t="s">
        <v>731</v>
      </c>
      <c r="C29" s="887"/>
      <c r="D29" s="887"/>
      <c r="E29" s="887"/>
      <c r="F29" s="887"/>
      <c r="G29" s="887"/>
      <c r="H29" s="887"/>
      <c r="I29" s="975"/>
    </row>
    <row r="30" spans="2:13" ht="16.2" customHeight="1" x14ac:dyDescent="0.3">
      <c r="B30" s="1481"/>
      <c r="C30" s="1482"/>
      <c r="D30" s="1482"/>
      <c r="E30" s="1482"/>
      <c r="F30" s="1482"/>
      <c r="G30" s="1482"/>
      <c r="H30" s="1482"/>
      <c r="I30" s="1483"/>
    </row>
    <row r="31" spans="2:13" ht="14.4" customHeight="1" x14ac:dyDescent="0.3">
      <c r="B31" s="1481"/>
      <c r="C31" s="1482"/>
      <c r="D31" s="1482"/>
      <c r="E31" s="1482"/>
      <c r="F31" s="1482"/>
      <c r="G31" s="1482"/>
      <c r="H31" s="1482"/>
      <c r="I31" s="1483"/>
    </row>
    <row r="32" spans="2:13" ht="14.4" customHeight="1" x14ac:dyDescent="0.3">
      <c r="B32" s="1481"/>
      <c r="C32" s="1482"/>
      <c r="D32" s="1482"/>
      <c r="E32" s="1482"/>
      <c r="F32" s="1482"/>
      <c r="G32" s="1482"/>
      <c r="H32" s="1482"/>
      <c r="I32" s="1483"/>
    </row>
    <row r="33" spans="2:9" ht="14.4" customHeight="1" x14ac:dyDescent="0.3">
      <c r="B33" s="1481"/>
      <c r="C33" s="1482"/>
      <c r="D33" s="1482"/>
      <c r="E33" s="1482"/>
      <c r="F33" s="1482"/>
      <c r="G33" s="1482"/>
      <c r="H33" s="1482"/>
      <c r="I33" s="1483"/>
    </row>
    <row r="34" spans="2:9" ht="14.4" customHeight="1" x14ac:dyDescent="0.3">
      <c r="B34" s="1481"/>
      <c r="C34" s="1482"/>
      <c r="D34" s="1482"/>
      <c r="E34" s="1482"/>
      <c r="F34" s="1482"/>
      <c r="G34" s="1482"/>
      <c r="H34" s="1482"/>
      <c r="I34" s="1483"/>
    </row>
    <row r="35" spans="2:9" ht="14.4" customHeight="1" x14ac:dyDescent="0.3">
      <c r="B35" s="1484"/>
      <c r="C35" s="1485"/>
      <c r="D35" s="1485"/>
      <c r="E35" s="1485"/>
      <c r="F35" s="1485"/>
      <c r="G35" s="1485"/>
      <c r="H35" s="1485"/>
      <c r="I35" s="1486"/>
    </row>
    <row r="36" spans="2:9" x14ac:dyDescent="0.3">
      <c r="B36" s="890" t="s">
        <v>146</v>
      </c>
      <c r="C36" s="887"/>
      <c r="D36" s="974"/>
      <c r="E36" s="1502" t="s">
        <v>311</v>
      </c>
      <c r="F36" s="1503"/>
      <c r="G36" s="1504"/>
      <c r="H36" s="786" t="s">
        <v>147</v>
      </c>
      <c r="I36" s="1487" t="s">
        <v>547</v>
      </c>
    </row>
    <row r="37" spans="2:9" ht="16.8" x14ac:dyDescent="0.4">
      <c r="B37" s="946"/>
      <c r="C37" s="947"/>
      <c r="D37" s="999"/>
      <c r="E37" s="1488"/>
      <c r="F37" s="1489"/>
      <c r="G37" s="1490"/>
      <c r="H37" s="655"/>
      <c r="I37" s="1491"/>
    </row>
    <row r="38" spans="2:9" x14ac:dyDescent="0.3">
      <c r="B38" s="890" t="s">
        <v>252</v>
      </c>
      <c r="C38" s="887"/>
      <c r="D38" s="974"/>
      <c r="E38" s="886" t="s">
        <v>311</v>
      </c>
      <c r="F38" s="887"/>
      <c r="G38" s="974"/>
      <c r="H38" s="786" t="s">
        <v>147</v>
      </c>
      <c r="I38" s="1487" t="s">
        <v>547</v>
      </c>
    </row>
    <row r="39" spans="2:9" ht="16.8" x14ac:dyDescent="0.4">
      <c r="B39" s="946"/>
      <c r="C39" s="947"/>
      <c r="D39" s="999"/>
      <c r="E39" s="1488"/>
      <c r="F39" s="1489"/>
      <c r="G39" s="1490"/>
      <c r="H39" s="655"/>
      <c r="I39" s="1491"/>
    </row>
    <row r="40" spans="2:9" x14ac:dyDescent="0.3">
      <c r="B40" s="890" t="s">
        <v>732</v>
      </c>
      <c r="C40" s="887"/>
      <c r="D40" s="887"/>
      <c r="E40" s="887"/>
      <c r="F40" s="887"/>
      <c r="G40" s="887"/>
      <c r="H40" s="887"/>
      <c r="I40" s="975"/>
    </row>
    <row r="41" spans="2:9" ht="15.6" customHeight="1" x14ac:dyDescent="0.3">
      <c r="B41" s="988"/>
      <c r="C41" s="989"/>
      <c r="D41" s="989"/>
      <c r="E41" s="989"/>
      <c r="F41" s="989"/>
      <c r="G41" s="989"/>
      <c r="H41" s="989"/>
      <c r="I41" s="1492"/>
    </row>
    <row r="42" spans="2:9" ht="15.6" customHeight="1" x14ac:dyDescent="0.3">
      <c r="B42" s="946"/>
      <c r="C42" s="947"/>
      <c r="D42" s="947"/>
      <c r="E42" s="947"/>
      <c r="F42" s="947"/>
      <c r="G42" s="947"/>
      <c r="H42" s="947"/>
      <c r="I42" s="995"/>
    </row>
    <row r="43" spans="2:9" x14ac:dyDescent="0.3">
      <c r="B43" s="1493" t="s">
        <v>733</v>
      </c>
      <c r="C43" s="944"/>
      <c r="D43" s="945"/>
      <c r="E43" s="1494" t="s">
        <v>311</v>
      </c>
      <c r="F43" s="1495"/>
      <c r="G43" s="1496"/>
      <c r="H43" s="1216" t="s">
        <v>547</v>
      </c>
      <c r="I43" s="1497"/>
    </row>
    <row r="44" spans="2:9" ht="17.399999999999999" thickBot="1" x14ac:dyDescent="0.45">
      <c r="B44" s="888"/>
      <c r="C44" s="889"/>
      <c r="D44" s="1002"/>
      <c r="E44" s="1498"/>
      <c r="F44" s="1499"/>
      <c r="G44" s="1500"/>
      <c r="H44" s="891"/>
      <c r="I44" s="1501"/>
    </row>
    <row r="45" spans="2:9" ht="16.2" thickBot="1" x14ac:dyDescent="0.35">
      <c r="B45" s="826" t="s">
        <v>734</v>
      </c>
      <c r="C45" s="827"/>
      <c r="D45" s="827"/>
      <c r="E45" s="827"/>
      <c r="F45" s="827"/>
      <c r="G45" s="827"/>
      <c r="H45" s="827"/>
      <c r="I45" s="834"/>
    </row>
    <row r="46" spans="2:9" x14ac:dyDescent="0.3">
      <c r="B46" s="890" t="s">
        <v>612</v>
      </c>
      <c r="C46" s="887"/>
      <c r="D46" s="974"/>
      <c r="E46" s="99" t="s">
        <v>619</v>
      </c>
      <c r="F46" s="924" t="s">
        <v>623</v>
      </c>
      <c r="G46" s="924"/>
      <c r="H46" s="924" t="s">
        <v>629</v>
      </c>
      <c r="I46" s="925"/>
    </row>
    <row r="47" spans="2:9" ht="15.6" x14ac:dyDescent="0.3">
      <c r="B47" s="946"/>
      <c r="C47" s="947"/>
      <c r="D47" s="999"/>
      <c r="E47" s="1448"/>
      <c r="F47" s="994"/>
      <c r="G47" s="999"/>
      <c r="H47" s="1449"/>
      <c r="I47" s="995"/>
    </row>
    <row r="48" spans="2:9" x14ac:dyDescent="0.3">
      <c r="B48" s="890" t="s">
        <v>631</v>
      </c>
      <c r="C48" s="974"/>
      <c r="D48" s="886" t="s">
        <v>633</v>
      </c>
      <c r="E48" s="974"/>
      <c r="F48" s="886" t="s">
        <v>638</v>
      </c>
      <c r="G48" s="974"/>
      <c r="H48" s="886" t="s">
        <v>647</v>
      </c>
      <c r="I48" s="975"/>
    </row>
    <row r="49" spans="2:13" x14ac:dyDescent="0.3">
      <c r="B49" s="1450"/>
      <c r="C49" s="1451"/>
      <c r="D49" s="1451"/>
      <c r="E49" s="1451"/>
      <c r="F49" s="1451"/>
      <c r="G49" s="1451"/>
      <c r="H49" s="1451"/>
      <c r="I49" s="1452"/>
    </row>
    <row r="50" spans="2:13" x14ac:dyDescent="0.3">
      <c r="B50" s="930" t="s">
        <v>649</v>
      </c>
      <c r="C50" s="924"/>
      <c r="D50" s="924"/>
      <c r="E50" s="924"/>
      <c r="F50" s="924" t="s">
        <v>728</v>
      </c>
      <c r="G50" s="924"/>
      <c r="H50" s="924"/>
      <c r="I50" s="925"/>
    </row>
    <row r="51" spans="2:13" ht="15.6" x14ac:dyDescent="0.3">
      <c r="B51" s="1450"/>
      <c r="C51" s="1453"/>
      <c r="D51" s="1454"/>
      <c r="E51" s="999"/>
      <c r="F51" s="1451"/>
      <c r="G51" s="1453"/>
      <c r="H51" s="1454"/>
      <c r="I51" s="995"/>
    </row>
    <row r="52" spans="2:13" ht="15.6" x14ac:dyDescent="0.3">
      <c r="B52" s="1455"/>
      <c r="C52" s="1456"/>
      <c r="D52" s="1457"/>
      <c r="E52" s="1018"/>
      <c r="F52" s="1013"/>
      <c r="G52" s="1456"/>
      <c r="H52" s="1457"/>
      <c r="I52" s="1458"/>
    </row>
    <row r="53" spans="2:13" ht="15.6" x14ac:dyDescent="0.3">
      <c r="B53" s="1455"/>
      <c r="C53" s="1456"/>
      <c r="D53" s="1457"/>
      <c r="E53" s="1018"/>
      <c r="F53" s="1013"/>
      <c r="G53" s="1456"/>
      <c r="H53" s="1457"/>
      <c r="I53" s="1458"/>
    </row>
    <row r="54" spans="2:13" ht="15.6" x14ac:dyDescent="0.3">
      <c r="B54" s="1455"/>
      <c r="C54" s="1456"/>
      <c r="D54" s="1457"/>
      <c r="E54" s="1018"/>
      <c r="F54" s="1013"/>
      <c r="G54" s="1456"/>
      <c r="H54" s="1457"/>
      <c r="I54" s="1458"/>
      <c r="L54" s="1460"/>
      <c r="M54" s="1460"/>
    </row>
    <row r="55" spans="2:13" ht="15.6" x14ac:dyDescent="0.3">
      <c r="B55" s="1455"/>
      <c r="C55" s="1456"/>
      <c r="D55" s="1457"/>
      <c r="E55" s="1018"/>
      <c r="F55" s="1013"/>
      <c r="G55" s="1456"/>
      <c r="H55" s="1457"/>
      <c r="I55" s="1458"/>
    </row>
    <row r="56" spans="2:13" ht="15.6" x14ac:dyDescent="0.3">
      <c r="B56" s="1455"/>
      <c r="C56" s="1456"/>
      <c r="D56" s="1457"/>
      <c r="E56" s="1018"/>
      <c r="F56" s="1013"/>
      <c r="G56" s="1456"/>
      <c r="H56" s="1457"/>
      <c r="I56" s="1458"/>
    </row>
    <row r="57" spans="2:13" ht="15.6" x14ac:dyDescent="0.3">
      <c r="B57" s="1455"/>
      <c r="C57" s="1456"/>
      <c r="D57" s="1457"/>
      <c r="E57" s="1018"/>
      <c r="F57" s="1461"/>
      <c r="G57" s="1462"/>
      <c r="H57" s="1462"/>
      <c r="I57" s="1463"/>
    </row>
    <row r="58" spans="2:13" ht="15.6" x14ac:dyDescent="0.3">
      <c r="B58" s="1455"/>
      <c r="C58" s="1456"/>
      <c r="D58" s="1457"/>
      <c r="E58" s="1018"/>
      <c r="F58" s="1464"/>
      <c r="G58" s="1465"/>
      <c r="H58" s="1465"/>
      <c r="I58" s="1466"/>
    </row>
    <row r="59" spans="2:13" ht="15.6" customHeight="1" x14ac:dyDescent="0.3">
      <c r="B59" s="1467" t="s">
        <v>729</v>
      </c>
      <c r="C59" s="1468"/>
      <c r="D59" s="1468"/>
      <c r="E59" s="1468"/>
      <c r="F59" s="1468"/>
      <c r="G59" s="1468"/>
      <c r="H59" s="1468"/>
      <c r="I59" s="1469"/>
    </row>
    <row r="60" spans="2:13" x14ac:dyDescent="0.3">
      <c r="B60" s="1470" t="s">
        <v>23</v>
      </c>
      <c r="C60" s="1471" t="s">
        <v>170</v>
      </c>
      <c r="D60" s="1472" t="s">
        <v>175</v>
      </c>
      <c r="E60" s="1472" t="s">
        <v>174</v>
      </c>
      <c r="F60" s="1471" t="s">
        <v>25</v>
      </c>
      <c r="G60" s="1471" t="s">
        <v>157</v>
      </c>
      <c r="H60" s="1471" t="s">
        <v>26</v>
      </c>
      <c r="I60" s="1473" t="s">
        <v>730</v>
      </c>
    </row>
    <row r="61" spans="2:13" x14ac:dyDescent="0.3">
      <c r="B61" s="1474" t="s">
        <v>158</v>
      </c>
      <c r="C61" s="1475"/>
      <c r="D61" s="1476"/>
      <c r="E61" s="1476"/>
      <c r="F61" s="1477"/>
      <c r="G61" s="1477"/>
      <c r="H61" s="1505">
        <f>F61*(1+(G61/100))</f>
        <v>0</v>
      </c>
      <c r="I61" s="1478"/>
    </row>
    <row r="62" spans="2:13" x14ac:dyDescent="0.3">
      <c r="B62" s="1474" t="s">
        <v>159</v>
      </c>
      <c r="C62" s="1475"/>
      <c r="D62" s="1476"/>
      <c r="E62" s="1476"/>
      <c r="F62" s="1477"/>
      <c r="G62" s="1477"/>
      <c r="H62" s="1505">
        <f t="shared" ref="H62:H65" si="1">F62*(1+(G62/100))</f>
        <v>0</v>
      </c>
      <c r="I62" s="1478"/>
    </row>
    <row r="63" spans="2:13" x14ac:dyDescent="0.3">
      <c r="B63" s="1474" t="s">
        <v>176</v>
      </c>
      <c r="C63" s="1475"/>
      <c r="D63" s="1476"/>
      <c r="E63" s="1476"/>
      <c r="F63" s="1477"/>
      <c r="G63" s="1477"/>
      <c r="H63" s="1505">
        <f t="shared" si="1"/>
        <v>0</v>
      </c>
      <c r="I63" s="1478"/>
    </row>
    <row r="64" spans="2:13" x14ac:dyDescent="0.3">
      <c r="B64" s="1474" t="s">
        <v>177</v>
      </c>
      <c r="C64" s="1475"/>
      <c r="D64" s="1476"/>
      <c r="E64" s="1476"/>
      <c r="F64" s="1477"/>
      <c r="G64" s="1477"/>
      <c r="H64" s="1505">
        <f t="shared" si="1"/>
        <v>0</v>
      </c>
      <c r="I64" s="1478"/>
    </row>
    <row r="65" spans="2:9" x14ac:dyDescent="0.3">
      <c r="B65" s="1474" t="s">
        <v>178</v>
      </c>
      <c r="C65" s="785"/>
      <c r="D65" s="1479"/>
      <c r="E65" s="1479"/>
      <c r="F65" s="1480"/>
      <c r="G65" s="1480"/>
      <c r="H65" s="1505">
        <f t="shared" si="1"/>
        <v>0</v>
      </c>
      <c r="I65" s="1478"/>
    </row>
    <row r="66" spans="2:9" x14ac:dyDescent="0.3">
      <c r="B66" s="890" t="s">
        <v>731</v>
      </c>
      <c r="C66" s="887"/>
      <c r="D66" s="887"/>
      <c r="E66" s="887"/>
      <c r="F66" s="887"/>
      <c r="G66" s="887"/>
      <c r="H66" s="887"/>
      <c r="I66" s="975"/>
    </row>
    <row r="67" spans="2:9" ht="16.2" customHeight="1" x14ac:dyDescent="0.3">
      <c r="B67" s="1481"/>
      <c r="C67" s="1482"/>
      <c r="D67" s="1482"/>
      <c r="E67" s="1482"/>
      <c r="F67" s="1482"/>
      <c r="G67" s="1482"/>
      <c r="H67" s="1482"/>
      <c r="I67" s="1483"/>
    </row>
    <row r="68" spans="2:9" ht="14.4" customHeight="1" x14ac:dyDescent="0.3">
      <c r="B68" s="1481"/>
      <c r="C68" s="1482"/>
      <c r="D68" s="1482"/>
      <c r="E68" s="1482"/>
      <c r="F68" s="1482"/>
      <c r="G68" s="1482"/>
      <c r="H68" s="1482"/>
      <c r="I68" s="1483"/>
    </row>
    <row r="69" spans="2:9" ht="14.4" customHeight="1" x14ac:dyDescent="0.3">
      <c r="B69" s="1481"/>
      <c r="C69" s="1482"/>
      <c r="D69" s="1482"/>
      <c r="E69" s="1482"/>
      <c r="F69" s="1482"/>
      <c r="G69" s="1482"/>
      <c r="H69" s="1482"/>
      <c r="I69" s="1483"/>
    </row>
    <row r="70" spans="2:9" ht="14.4" customHeight="1" x14ac:dyDescent="0.3">
      <c r="B70" s="1481"/>
      <c r="C70" s="1482"/>
      <c r="D70" s="1482"/>
      <c r="E70" s="1482"/>
      <c r="F70" s="1482"/>
      <c r="G70" s="1482"/>
      <c r="H70" s="1482"/>
      <c r="I70" s="1483"/>
    </row>
    <row r="71" spans="2:9" ht="14.4" customHeight="1" x14ac:dyDescent="0.3">
      <c r="B71" s="1481"/>
      <c r="C71" s="1482"/>
      <c r="D71" s="1482"/>
      <c r="E71" s="1482"/>
      <c r="F71" s="1482"/>
      <c r="G71" s="1482"/>
      <c r="H71" s="1482"/>
      <c r="I71" s="1483"/>
    </row>
    <row r="72" spans="2:9" ht="14.4" customHeight="1" x14ac:dyDescent="0.3">
      <c r="B72" s="1484"/>
      <c r="C72" s="1485"/>
      <c r="D72" s="1485"/>
      <c r="E72" s="1485"/>
      <c r="F72" s="1485"/>
      <c r="G72" s="1485"/>
      <c r="H72" s="1485"/>
      <c r="I72" s="1486"/>
    </row>
    <row r="73" spans="2:9" x14ac:dyDescent="0.3">
      <c r="B73" s="890" t="s">
        <v>146</v>
      </c>
      <c r="C73" s="887"/>
      <c r="D73" s="974"/>
      <c r="E73" s="1502" t="s">
        <v>311</v>
      </c>
      <c r="F73" s="1503"/>
      <c r="G73" s="1504"/>
      <c r="H73" s="786" t="s">
        <v>147</v>
      </c>
      <c r="I73" s="1487" t="s">
        <v>547</v>
      </c>
    </row>
    <row r="74" spans="2:9" ht="16.8" x14ac:dyDescent="0.4">
      <c r="B74" s="946"/>
      <c r="C74" s="947"/>
      <c r="D74" s="999"/>
      <c r="E74" s="1488"/>
      <c r="F74" s="1489"/>
      <c r="G74" s="1490"/>
      <c r="H74" s="655"/>
      <c r="I74" s="1491"/>
    </row>
    <row r="75" spans="2:9" x14ac:dyDescent="0.3">
      <c r="B75" s="890" t="s">
        <v>252</v>
      </c>
      <c r="C75" s="887"/>
      <c r="D75" s="974"/>
      <c r="E75" s="1502" t="s">
        <v>311</v>
      </c>
      <c r="F75" s="1503"/>
      <c r="G75" s="1504"/>
      <c r="H75" s="786" t="s">
        <v>147</v>
      </c>
      <c r="I75" s="1487" t="s">
        <v>547</v>
      </c>
    </row>
    <row r="76" spans="2:9" ht="16.8" x14ac:dyDescent="0.4">
      <c r="B76" s="946"/>
      <c r="C76" s="947"/>
      <c r="D76" s="999"/>
      <c r="E76" s="1488"/>
      <c r="F76" s="1489"/>
      <c r="G76" s="1490"/>
      <c r="H76" s="655"/>
      <c r="I76" s="1491"/>
    </row>
    <row r="77" spans="2:9" x14ac:dyDescent="0.3">
      <c r="B77" s="890" t="s">
        <v>732</v>
      </c>
      <c r="C77" s="887"/>
      <c r="D77" s="887"/>
      <c r="E77" s="887"/>
      <c r="F77" s="887"/>
      <c r="G77" s="887"/>
      <c r="H77" s="887"/>
      <c r="I77" s="975"/>
    </row>
    <row r="78" spans="2:9" ht="15.6" customHeight="1" x14ac:dyDescent="0.3">
      <c r="B78" s="988"/>
      <c r="C78" s="989"/>
      <c r="D78" s="989"/>
      <c r="E78" s="989"/>
      <c r="F78" s="989"/>
      <c r="G78" s="989"/>
      <c r="H78" s="989"/>
      <c r="I78" s="1492"/>
    </row>
    <row r="79" spans="2:9" ht="15.6" customHeight="1" x14ac:dyDescent="0.3">
      <c r="B79" s="946"/>
      <c r="C79" s="947"/>
      <c r="D79" s="947"/>
      <c r="E79" s="947"/>
      <c r="F79" s="947"/>
      <c r="G79" s="947"/>
      <c r="H79" s="947"/>
      <c r="I79" s="995"/>
    </row>
    <row r="80" spans="2:9" x14ac:dyDescent="0.3">
      <c r="B80" s="1493" t="s">
        <v>733</v>
      </c>
      <c r="C80" s="944"/>
      <c r="D80" s="945"/>
      <c r="E80" s="1494" t="s">
        <v>311</v>
      </c>
      <c r="F80" s="1495"/>
      <c r="G80" s="1496"/>
      <c r="H80" s="1216" t="s">
        <v>547</v>
      </c>
      <c r="I80" s="1497"/>
    </row>
    <row r="81" spans="2:13" ht="17.399999999999999" thickBot="1" x14ac:dyDescent="0.45">
      <c r="B81" s="888"/>
      <c r="C81" s="889"/>
      <c r="D81" s="1002"/>
      <c r="E81" s="1498"/>
      <c r="F81" s="1499"/>
      <c r="G81" s="1500"/>
      <c r="H81" s="891"/>
      <c r="I81" s="1501"/>
    </row>
    <row r="82" spans="2:13" ht="16.2" thickBot="1" x14ac:dyDescent="0.35">
      <c r="B82" s="826" t="s">
        <v>735</v>
      </c>
      <c r="C82" s="827"/>
      <c r="D82" s="827"/>
      <c r="E82" s="827"/>
      <c r="F82" s="827"/>
      <c r="G82" s="827"/>
      <c r="H82" s="827"/>
      <c r="I82" s="834"/>
    </row>
    <row r="83" spans="2:13" x14ac:dyDescent="0.3">
      <c r="B83" s="890" t="s">
        <v>612</v>
      </c>
      <c r="C83" s="887"/>
      <c r="D83" s="974"/>
      <c r="E83" s="99" t="s">
        <v>619</v>
      </c>
      <c r="F83" s="924" t="s">
        <v>623</v>
      </c>
      <c r="G83" s="924"/>
      <c r="H83" s="924" t="s">
        <v>629</v>
      </c>
      <c r="I83" s="925"/>
    </row>
    <row r="84" spans="2:13" ht="15.6" x14ac:dyDescent="0.3">
      <c r="B84" s="946"/>
      <c r="C84" s="947"/>
      <c r="D84" s="999"/>
      <c r="E84" s="1448"/>
      <c r="F84" s="994"/>
      <c r="G84" s="999"/>
      <c r="H84" s="1449"/>
      <c r="I84" s="995"/>
    </row>
    <row r="85" spans="2:13" x14ac:dyDescent="0.3">
      <c r="B85" s="890" t="s">
        <v>631</v>
      </c>
      <c r="C85" s="974"/>
      <c r="D85" s="886" t="s">
        <v>633</v>
      </c>
      <c r="E85" s="974"/>
      <c r="F85" s="886" t="s">
        <v>638</v>
      </c>
      <c r="G85" s="974"/>
      <c r="H85" s="886" t="s">
        <v>647</v>
      </c>
      <c r="I85" s="975"/>
    </row>
    <row r="86" spans="2:13" x14ac:dyDescent="0.3">
      <c r="B86" s="1450"/>
      <c r="C86" s="1451"/>
      <c r="D86" s="1451"/>
      <c r="E86" s="1451"/>
      <c r="F86" s="1451"/>
      <c r="G86" s="1451"/>
      <c r="H86" s="1451"/>
      <c r="I86" s="1452"/>
    </row>
    <row r="87" spans="2:13" x14ac:dyDescent="0.3">
      <c r="B87" s="930" t="s">
        <v>649</v>
      </c>
      <c r="C87" s="924"/>
      <c r="D87" s="924"/>
      <c r="E87" s="924"/>
      <c r="F87" s="924" t="s">
        <v>728</v>
      </c>
      <c r="G87" s="924"/>
      <c r="H87" s="924"/>
      <c r="I87" s="925"/>
    </row>
    <row r="88" spans="2:13" ht="15.6" x14ac:dyDescent="0.3">
      <c r="B88" s="1450"/>
      <c r="C88" s="1453"/>
      <c r="D88" s="1454"/>
      <c r="E88" s="999"/>
      <c r="F88" s="1451"/>
      <c r="G88" s="1453"/>
      <c r="H88" s="1454"/>
      <c r="I88" s="995"/>
    </row>
    <row r="89" spans="2:13" ht="15.6" x14ac:dyDescent="0.3">
      <c r="B89" s="1455"/>
      <c r="C89" s="1456"/>
      <c r="D89" s="1457"/>
      <c r="E89" s="1018"/>
      <c r="F89" s="1013"/>
      <c r="G89" s="1456"/>
      <c r="H89" s="1457"/>
      <c r="I89" s="1458"/>
    </row>
    <row r="90" spans="2:13" ht="15.6" x14ac:dyDescent="0.3">
      <c r="B90" s="1455"/>
      <c r="C90" s="1456"/>
      <c r="D90" s="1457"/>
      <c r="E90" s="1018"/>
      <c r="F90" s="1013"/>
      <c r="G90" s="1456"/>
      <c r="H90" s="1457"/>
      <c r="I90" s="1458"/>
    </row>
    <row r="91" spans="2:13" ht="15.6" x14ac:dyDescent="0.3">
      <c r="B91" s="1455"/>
      <c r="C91" s="1456"/>
      <c r="D91" s="1457"/>
      <c r="E91" s="1018"/>
      <c r="F91" s="1013"/>
      <c r="G91" s="1456"/>
      <c r="H91" s="1457"/>
      <c r="I91" s="1458"/>
      <c r="L91" s="1460"/>
      <c r="M91" s="1460"/>
    </row>
    <row r="92" spans="2:13" ht="15.6" x14ac:dyDescent="0.3">
      <c r="B92" s="1455"/>
      <c r="C92" s="1456"/>
      <c r="D92" s="1457"/>
      <c r="E92" s="1018"/>
      <c r="F92" s="1013"/>
      <c r="G92" s="1456"/>
      <c r="H92" s="1457"/>
      <c r="I92" s="1458"/>
    </row>
    <row r="93" spans="2:13" ht="15.6" x14ac:dyDescent="0.3">
      <c r="B93" s="1455"/>
      <c r="C93" s="1456"/>
      <c r="D93" s="1457"/>
      <c r="E93" s="1018"/>
      <c r="F93" s="1013"/>
      <c r="G93" s="1456"/>
      <c r="H93" s="1457"/>
      <c r="I93" s="1458"/>
    </row>
    <row r="94" spans="2:13" ht="15.6" x14ac:dyDescent="0.3">
      <c r="B94" s="1455"/>
      <c r="C94" s="1456"/>
      <c r="D94" s="1457"/>
      <c r="E94" s="1018"/>
      <c r="F94" s="1461"/>
      <c r="G94" s="1462"/>
      <c r="H94" s="1462"/>
      <c r="I94" s="1463"/>
    </row>
    <row r="95" spans="2:13" ht="15.6" x14ac:dyDescent="0.3">
      <c r="B95" s="1455"/>
      <c r="C95" s="1456"/>
      <c r="D95" s="1457"/>
      <c r="E95" s="1018"/>
      <c r="F95" s="1464"/>
      <c r="G95" s="1465"/>
      <c r="H95" s="1465"/>
      <c r="I95" s="1466"/>
    </row>
    <row r="96" spans="2:13" ht="15.6" customHeight="1" x14ac:dyDescent="0.3">
      <c r="B96" s="1467" t="s">
        <v>729</v>
      </c>
      <c r="C96" s="1468"/>
      <c r="D96" s="1468"/>
      <c r="E96" s="1468"/>
      <c r="F96" s="1468"/>
      <c r="G96" s="1468"/>
      <c r="H96" s="1468"/>
      <c r="I96" s="1469"/>
    </row>
    <row r="97" spans="2:9" x14ac:dyDescent="0.3">
      <c r="B97" s="1470" t="s">
        <v>23</v>
      </c>
      <c r="C97" s="1471" t="s">
        <v>170</v>
      </c>
      <c r="D97" s="1472" t="s">
        <v>175</v>
      </c>
      <c r="E97" s="1472" t="s">
        <v>174</v>
      </c>
      <c r="F97" s="1471" t="s">
        <v>25</v>
      </c>
      <c r="G97" s="1471" t="s">
        <v>157</v>
      </c>
      <c r="H97" s="1471" t="s">
        <v>26</v>
      </c>
      <c r="I97" s="1473" t="s">
        <v>730</v>
      </c>
    </row>
    <row r="98" spans="2:9" x14ac:dyDescent="0.3">
      <c r="B98" s="1474" t="s">
        <v>158</v>
      </c>
      <c r="C98" s="1475"/>
      <c r="D98" s="1476"/>
      <c r="E98" s="1476"/>
      <c r="F98" s="1477"/>
      <c r="G98" s="1477"/>
      <c r="H98" s="1505">
        <f>F98*(1+(G98/100))</f>
        <v>0</v>
      </c>
      <c r="I98" s="1478"/>
    </row>
    <row r="99" spans="2:9" x14ac:dyDescent="0.3">
      <c r="B99" s="1474" t="s">
        <v>159</v>
      </c>
      <c r="C99" s="1475"/>
      <c r="D99" s="1476"/>
      <c r="E99" s="1476"/>
      <c r="F99" s="1477"/>
      <c r="G99" s="1477"/>
      <c r="H99" s="1505">
        <f t="shared" ref="H99:H102" si="2">F99*(1+(G99/100))</f>
        <v>0</v>
      </c>
      <c r="I99" s="1478"/>
    </row>
    <row r="100" spans="2:9" x14ac:dyDescent="0.3">
      <c r="B100" s="1474" t="s">
        <v>176</v>
      </c>
      <c r="C100" s="1475"/>
      <c r="D100" s="1476"/>
      <c r="E100" s="1476"/>
      <c r="F100" s="1477"/>
      <c r="G100" s="1477"/>
      <c r="H100" s="1505">
        <f t="shared" si="2"/>
        <v>0</v>
      </c>
      <c r="I100" s="1478"/>
    </row>
    <row r="101" spans="2:9" x14ac:dyDescent="0.3">
      <c r="B101" s="1474" t="s">
        <v>177</v>
      </c>
      <c r="C101" s="1475"/>
      <c r="D101" s="1476"/>
      <c r="E101" s="1476"/>
      <c r="F101" s="1477"/>
      <c r="G101" s="1477"/>
      <c r="H101" s="1505">
        <f t="shared" si="2"/>
        <v>0</v>
      </c>
      <c r="I101" s="1478"/>
    </row>
    <row r="102" spans="2:9" x14ac:dyDescent="0.3">
      <c r="B102" s="1474" t="s">
        <v>178</v>
      </c>
      <c r="C102" s="785"/>
      <c r="D102" s="1479"/>
      <c r="E102" s="1479"/>
      <c r="F102" s="1480"/>
      <c r="G102" s="1480"/>
      <c r="H102" s="1505">
        <f t="shared" si="2"/>
        <v>0</v>
      </c>
      <c r="I102" s="1478"/>
    </row>
    <row r="103" spans="2:9" x14ac:dyDescent="0.3">
      <c r="B103" s="890" t="s">
        <v>731</v>
      </c>
      <c r="C103" s="887"/>
      <c r="D103" s="887"/>
      <c r="E103" s="887"/>
      <c r="F103" s="887"/>
      <c r="G103" s="887"/>
      <c r="H103" s="887"/>
      <c r="I103" s="975"/>
    </row>
    <row r="104" spans="2:9" ht="16.2" customHeight="1" x14ac:dyDescent="0.3">
      <c r="B104" s="1481"/>
      <c r="C104" s="1482"/>
      <c r="D104" s="1482"/>
      <c r="E104" s="1482"/>
      <c r="F104" s="1482"/>
      <c r="G104" s="1482"/>
      <c r="H104" s="1482"/>
      <c r="I104" s="1483"/>
    </row>
    <row r="105" spans="2:9" ht="14.4" customHeight="1" x14ac:dyDescent="0.3">
      <c r="B105" s="1481"/>
      <c r="C105" s="1482"/>
      <c r="D105" s="1482"/>
      <c r="E105" s="1482"/>
      <c r="F105" s="1482"/>
      <c r="G105" s="1482"/>
      <c r="H105" s="1482"/>
      <c r="I105" s="1483"/>
    </row>
    <row r="106" spans="2:9" ht="14.4" customHeight="1" x14ac:dyDescent="0.3">
      <c r="B106" s="1481"/>
      <c r="C106" s="1482"/>
      <c r="D106" s="1482"/>
      <c r="E106" s="1482"/>
      <c r="F106" s="1482"/>
      <c r="G106" s="1482"/>
      <c r="H106" s="1482"/>
      <c r="I106" s="1483"/>
    </row>
    <row r="107" spans="2:9" ht="14.4" customHeight="1" x14ac:dyDescent="0.3">
      <c r="B107" s="1481"/>
      <c r="C107" s="1482"/>
      <c r="D107" s="1482"/>
      <c r="E107" s="1482"/>
      <c r="F107" s="1482"/>
      <c r="G107" s="1482"/>
      <c r="H107" s="1482"/>
      <c r="I107" s="1483"/>
    </row>
    <row r="108" spans="2:9" ht="14.4" customHeight="1" x14ac:dyDescent="0.3">
      <c r="B108" s="1481"/>
      <c r="C108" s="1482"/>
      <c r="D108" s="1482"/>
      <c r="E108" s="1482"/>
      <c r="F108" s="1482"/>
      <c r="G108" s="1482"/>
      <c r="H108" s="1482"/>
      <c r="I108" s="1483"/>
    </row>
    <row r="109" spans="2:9" ht="14.4" customHeight="1" x14ac:dyDescent="0.3">
      <c r="B109" s="1484"/>
      <c r="C109" s="1485"/>
      <c r="D109" s="1485"/>
      <c r="E109" s="1485"/>
      <c r="F109" s="1485"/>
      <c r="G109" s="1485"/>
      <c r="H109" s="1485"/>
      <c r="I109" s="1486"/>
    </row>
    <row r="110" spans="2:9" x14ac:dyDescent="0.3">
      <c r="B110" s="890" t="s">
        <v>146</v>
      </c>
      <c r="C110" s="887"/>
      <c r="D110" s="974"/>
      <c r="E110" s="1502" t="s">
        <v>311</v>
      </c>
      <c r="F110" s="1503"/>
      <c r="G110" s="1504"/>
      <c r="H110" s="786" t="s">
        <v>147</v>
      </c>
      <c r="I110" s="1487" t="s">
        <v>547</v>
      </c>
    </row>
    <row r="111" spans="2:9" ht="16.8" x14ac:dyDescent="0.4">
      <c r="B111" s="946"/>
      <c r="C111" s="947"/>
      <c r="D111" s="999"/>
      <c r="E111" s="1488"/>
      <c r="F111" s="1489"/>
      <c r="G111" s="1490"/>
      <c r="H111" s="655"/>
      <c r="I111" s="1491"/>
    </row>
    <row r="112" spans="2:9" x14ac:dyDescent="0.3">
      <c r="B112" s="890" t="s">
        <v>252</v>
      </c>
      <c r="C112" s="887"/>
      <c r="D112" s="974"/>
      <c r="E112" s="1502" t="s">
        <v>311</v>
      </c>
      <c r="F112" s="1503"/>
      <c r="G112" s="1504"/>
      <c r="H112" s="786" t="s">
        <v>147</v>
      </c>
      <c r="I112" s="1487" t="s">
        <v>547</v>
      </c>
    </row>
    <row r="113" spans="2:13" ht="16.8" x14ac:dyDescent="0.4">
      <c r="B113" s="946"/>
      <c r="C113" s="947"/>
      <c r="D113" s="999"/>
      <c r="E113" s="1488"/>
      <c r="F113" s="1489"/>
      <c r="G113" s="1490"/>
      <c r="H113" s="655"/>
      <c r="I113" s="1491"/>
    </row>
    <row r="114" spans="2:13" x14ac:dyDescent="0.3">
      <c r="B114" s="890" t="s">
        <v>732</v>
      </c>
      <c r="C114" s="887"/>
      <c r="D114" s="887"/>
      <c r="E114" s="887"/>
      <c r="F114" s="887"/>
      <c r="G114" s="887"/>
      <c r="H114" s="887"/>
      <c r="I114" s="975"/>
    </row>
    <row r="115" spans="2:13" ht="15.6" customHeight="1" x14ac:dyDescent="0.3">
      <c r="B115" s="988"/>
      <c r="C115" s="989"/>
      <c r="D115" s="989"/>
      <c r="E115" s="989"/>
      <c r="F115" s="989"/>
      <c r="G115" s="989"/>
      <c r="H115" s="989"/>
      <c r="I115" s="1492"/>
    </row>
    <row r="116" spans="2:13" ht="15.6" customHeight="1" x14ac:dyDescent="0.3">
      <c r="B116" s="946"/>
      <c r="C116" s="947"/>
      <c r="D116" s="947"/>
      <c r="E116" s="947"/>
      <c r="F116" s="947"/>
      <c r="G116" s="947"/>
      <c r="H116" s="947"/>
      <c r="I116" s="995"/>
    </row>
    <row r="117" spans="2:13" x14ac:dyDescent="0.3">
      <c r="B117" s="1493" t="s">
        <v>733</v>
      </c>
      <c r="C117" s="944"/>
      <c r="D117" s="945"/>
      <c r="E117" s="1494" t="s">
        <v>311</v>
      </c>
      <c r="F117" s="1495"/>
      <c r="G117" s="1496"/>
      <c r="H117" s="1216" t="s">
        <v>547</v>
      </c>
      <c r="I117" s="1497"/>
    </row>
    <row r="118" spans="2:13" ht="17.399999999999999" thickBot="1" x14ac:dyDescent="0.45">
      <c r="B118" s="888"/>
      <c r="C118" s="889"/>
      <c r="D118" s="1002"/>
      <c r="E118" s="1498"/>
      <c r="F118" s="1499"/>
      <c r="G118" s="1500"/>
      <c r="H118" s="891"/>
      <c r="I118" s="1501"/>
    </row>
    <row r="119" spans="2:13" ht="16.2" thickBot="1" x14ac:dyDescent="0.35">
      <c r="B119" s="826" t="s">
        <v>736</v>
      </c>
      <c r="C119" s="827"/>
      <c r="D119" s="827"/>
      <c r="E119" s="827"/>
      <c r="F119" s="827"/>
      <c r="G119" s="827"/>
      <c r="H119" s="827"/>
      <c r="I119" s="834"/>
    </row>
    <row r="120" spans="2:13" x14ac:dyDescent="0.3">
      <c r="B120" s="890" t="s">
        <v>612</v>
      </c>
      <c r="C120" s="887"/>
      <c r="D120" s="974"/>
      <c r="E120" s="99" t="s">
        <v>619</v>
      </c>
      <c r="F120" s="924" t="s">
        <v>623</v>
      </c>
      <c r="G120" s="924"/>
      <c r="H120" s="924" t="s">
        <v>629</v>
      </c>
      <c r="I120" s="925"/>
    </row>
    <row r="121" spans="2:13" ht="15.6" x14ac:dyDescent="0.3">
      <c r="B121" s="946"/>
      <c r="C121" s="947"/>
      <c r="D121" s="999"/>
      <c r="E121" s="1448"/>
      <c r="F121" s="994"/>
      <c r="G121" s="999"/>
      <c r="H121" s="1449"/>
      <c r="I121" s="995"/>
    </row>
    <row r="122" spans="2:13" x14ac:dyDescent="0.3">
      <c r="B122" s="890" t="s">
        <v>631</v>
      </c>
      <c r="C122" s="974"/>
      <c r="D122" s="886" t="s">
        <v>633</v>
      </c>
      <c r="E122" s="974"/>
      <c r="F122" s="886" t="s">
        <v>638</v>
      </c>
      <c r="G122" s="974"/>
      <c r="H122" s="886" t="s">
        <v>647</v>
      </c>
      <c r="I122" s="975"/>
    </row>
    <row r="123" spans="2:13" x14ac:dyDescent="0.3">
      <c r="B123" s="1450"/>
      <c r="C123" s="1451"/>
      <c r="D123" s="1451"/>
      <c r="E123" s="1451"/>
      <c r="F123" s="1451"/>
      <c r="G123" s="1451"/>
      <c r="H123" s="1451"/>
      <c r="I123" s="1452"/>
    </row>
    <row r="124" spans="2:13" x14ac:dyDescent="0.3">
      <c r="B124" s="930" t="s">
        <v>649</v>
      </c>
      <c r="C124" s="924"/>
      <c r="D124" s="924"/>
      <c r="E124" s="924"/>
      <c r="F124" s="924" t="s">
        <v>728</v>
      </c>
      <c r="G124" s="924"/>
      <c r="H124" s="924"/>
      <c r="I124" s="925"/>
    </row>
    <row r="125" spans="2:13" ht="15.6" x14ac:dyDescent="0.3">
      <c r="B125" s="1450"/>
      <c r="C125" s="1453"/>
      <c r="D125" s="1454"/>
      <c r="E125" s="999"/>
      <c r="F125" s="1451"/>
      <c r="G125" s="1453"/>
      <c r="H125" s="1454"/>
      <c r="I125" s="995"/>
    </row>
    <row r="126" spans="2:13" ht="15.6" x14ac:dyDescent="0.3">
      <c r="B126" s="1455"/>
      <c r="C126" s="1456"/>
      <c r="D126" s="1457"/>
      <c r="E126" s="1018"/>
      <c r="F126" s="1013"/>
      <c r="G126" s="1456"/>
      <c r="H126" s="1457"/>
      <c r="I126" s="1458"/>
    </row>
    <row r="127" spans="2:13" ht="15.6" x14ac:dyDescent="0.3">
      <c r="B127" s="1455"/>
      <c r="C127" s="1456"/>
      <c r="D127" s="1457"/>
      <c r="E127" s="1018"/>
      <c r="F127" s="1013"/>
      <c r="G127" s="1456"/>
      <c r="H127" s="1457"/>
      <c r="I127" s="1458"/>
    </row>
    <row r="128" spans="2:13" ht="15.6" x14ac:dyDescent="0.3">
      <c r="B128" s="1455"/>
      <c r="C128" s="1456"/>
      <c r="D128" s="1457"/>
      <c r="E128" s="1018"/>
      <c r="F128" s="1013"/>
      <c r="G128" s="1456"/>
      <c r="H128" s="1457"/>
      <c r="I128" s="1458"/>
      <c r="L128" s="1460"/>
      <c r="M128" s="1460"/>
    </row>
    <row r="129" spans="2:9" ht="15.6" x14ac:dyDescent="0.3">
      <c r="B129" s="1455"/>
      <c r="C129" s="1456"/>
      <c r="D129" s="1457"/>
      <c r="E129" s="1018"/>
      <c r="F129" s="1013"/>
      <c r="G129" s="1456"/>
      <c r="H129" s="1457"/>
      <c r="I129" s="1458"/>
    </row>
    <row r="130" spans="2:9" ht="15.6" x14ac:dyDescent="0.3">
      <c r="B130" s="1455"/>
      <c r="C130" s="1456"/>
      <c r="D130" s="1457"/>
      <c r="E130" s="1018"/>
      <c r="F130" s="1013"/>
      <c r="G130" s="1456"/>
      <c r="H130" s="1457"/>
      <c r="I130" s="1458"/>
    </row>
    <row r="131" spans="2:9" ht="15.6" x14ac:dyDescent="0.3">
      <c r="B131" s="1455"/>
      <c r="C131" s="1456"/>
      <c r="D131" s="1457"/>
      <c r="E131" s="1018"/>
      <c r="F131" s="1461"/>
      <c r="G131" s="1462"/>
      <c r="H131" s="1462"/>
      <c r="I131" s="1463"/>
    </row>
    <row r="132" spans="2:9" ht="15.6" x14ac:dyDescent="0.3">
      <c r="B132" s="1455"/>
      <c r="C132" s="1456"/>
      <c r="D132" s="1457"/>
      <c r="E132" s="1018"/>
      <c r="F132" s="1464"/>
      <c r="G132" s="1465"/>
      <c r="H132" s="1465"/>
      <c r="I132" s="1466"/>
    </row>
    <row r="133" spans="2:9" ht="15.6" customHeight="1" x14ac:dyDescent="0.3">
      <c r="B133" s="1467" t="s">
        <v>729</v>
      </c>
      <c r="C133" s="1468"/>
      <c r="D133" s="1468"/>
      <c r="E133" s="1468"/>
      <c r="F133" s="1468"/>
      <c r="G133" s="1468"/>
      <c r="H133" s="1468"/>
      <c r="I133" s="1469"/>
    </row>
    <row r="134" spans="2:9" x14ac:dyDescent="0.3">
      <c r="B134" s="1470" t="s">
        <v>23</v>
      </c>
      <c r="C134" s="1471" t="s">
        <v>170</v>
      </c>
      <c r="D134" s="1472" t="s">
        <v>175</v>
      </c>
      <c r="E134" s="1472" t="s">
        <v>174</v>
      </c>
      <c r="F134" s="1471" t="s">
        <v>25</v>
      </c>
      <c r="G134" s="1471" t="s">
        <v>157</v>
      </c>
      <c r="H134" s="1471" t="s">
        <v>26</v>
      </c>
      <c r="I134" s="1473" t="s">
        <v>730</v>
      </c>
    </row>
    <row r="135" spans="2:9" x14ac:dyDescent="0.3">
      <c r="B135" s="1474" t="s">
        <v>158</v>
      </c>
      <c r="C135" s="1475"/>
      <c r="D135" s="1476"/>
      <c r="E135" s="1476"/>
      <c r="F135" s="1477"/>
      <c r="G135" s="1477"/>
      <c r="H135" s="1505">
        <f>F135*(1+(G135/100))</f>
        <v>0</v>
      </c>
      <c r="I135" s="1478"/>
    </row>
    <row r="136" spans="2:9" x14ac:dyDescent="0.3">
      <c r="B136" s="1474" t="s">
        <v>159</v>
      </c>
      <c r="C136" s="1475"/>
      <c r="D136" s="1476"/>
      <c r="E136" s="1476"/>
      <c r="F136" s="1477"/>
      <c r="G136" s="1477"/>
      <c r="H136" s="1505">
        <f t="shared" ref="H136:H139" si="3">F136*(1+(G136/100))</f>
        <v>0</v>
      </c>
      <c r="I136" s="1478"/>
    </row>
    <row r="137" spans="2:9" x14ac:dyDescent="0.3">
      <c r="B137" s="1474" t="s">
        <v>176</v>
      </c>
      <c r="C137" s="1475"/>
      <c r="D137" s="1476"/>
      <c r="E137" s="1476"/>
      <c r="F137" s="1477"/>
      <c r="G137" s="1477"/>
      <c r="H137" s="1505">
        <f t="shared" si="3"/>
        <v>0</v>
      </c>
      <c r="I137" s="1478"/>
    </row>
    <row r="138" spans="2:9" x14ac:dyDescent="0.3">
      <c r="B138" s="1474" t="s">
        <v>177</v>
      </c>
      <c r="C138" s="1475"/>
      <c r="D138" s="1476"/>
      <c r="E138" s="1476"/>
      <c r="F138" s="1477"/>
      <c r="G138" s="1477"/>
      <c r="H138" s="1505">
        <f t="shared" si="3"/>
        <v>0</v>
      </c>
      <c r="I138" s="1478"/>
    </row>
    <row r="139" spans="2:9" x14ac:dyDescent="0.3">
      <c r="B139" s="1474" t="s">
        <v>178</v>
      </c>
      <c r="C139" s="785"/>
      <c r="D139" s="1479"/>
      <c r="E139" s="1479"/>
      <c r="F139" s="1480"/>
      <c r="G139" s="1480"/>
      <c r="H139" s="1505">
        <f t="shared" si="3"/>
        <v>0</v>
      </c>
      <c r="I139" s="1478"/>
    </row>
    <row r="140" spans="2:9" x14ac:dyDescent="0.3">
      <c r="B140" s="890" t="s">
        <v>731</v>
      </c>
      <c r="C140" s="887"/>
      <c r="D140" s="887"/>
      <c r="E140" s="887"/>
      <c r="F140" s="887"/>
      <c r="G140" s="887"/>
      <c r="H140" s="887"/>
      <c r="I140" s="975"/>
    </row>
    <row r="141" spans="2:9" ht="16.2" customHeight="1" x14ac:dyDescent="0.3">
      <c r="B141" s="1481"/>
      <c r="C141" s="1482"/>
      <c r="D141" s="1482"/>
      <c r="E141" s="1482"/>
      <c r="F141" s="1482"/>
      <c r="G141" s="1482"/>
      <c r="H141" s="1482"/>
      <c r="I141" s="1483"/>
    </row>
    <row r="142" spans="2:9" ht="14.4" customHeight="1" x14ac:dyDescent="0.3">
      <c r="B142" s="1481"/>
      <c r="C142" s="1482"/>
      <c r="D142" s="1482"/>
      <c r="E142" s="1482"/>
      <c r="F142" s="1482"/>
      <c r="G142" s="1482"/>
      <c r="H142" s="1482"/>
      <c r="I142" s="1483"/>
    </row>
    <row r="143" spans="2:9" ht="14.4" customHeight="1" x14ac:dyDescent="0.3">
      <c r="B143" s="1481"/>
      <c r="C143" s="1482"/>
      <c r="D143" s="1482"/>
      <c r="E143" s="1482"/>
      <c r="F143" s="1482"/>
      <c r="G143" s="1482"/>
      <c r="H143" s="1482"/>
      <c r="I143" s="1483"/>
    </row>
    <row r="144" spans="2:9" ht="14.4" customHeight="1" x14ac:dyDescent="0.3">
      <c r="B144" s="1481"/>
      <c r="C144" s="1482"/>
      <c r="D144" s="1482"/>
      <c r="E144" s="1482"/>
      <c r="F144" s="1482"/>
      <c r="G144" s="1482"/>
      <c r="H144" s="1482"/>
      <c r="I144" s="1483"/>
    </row>
    <row r="145" spans="2:9" ht="14.4" customHeight="1" x14ac:dyDescent="0.3">
      <c r="B145" s="1481"/>
      <c r="C145" s="1482"/>
      <c r="D145" s="1482"/>
      <c r="E145" s="1482"/>
      <c r="F145" s="1482"/>
      <c r="G145" s="1482"/>
      <c r="H145" s="1482"/>
      <c r="I145" s="1483"/>
    </row>
    <row r="146" spans="2:9" ht="14.4" customHeight="1" x14ac:dyDescent="0.3">
      <c r="B146" s="1484"/>
      <c r="C146" s="1485"/>
      <c r="D146" s="1485"/>
      <c r="E146" s="1485"/>
      <c r="F146" s="1485"/>
      <c r="G146" s="1485"/>
      <c r="H146" s="1485"/>
      <c r="I146" s="1486"/>
    </row>
    <row r="147" spans="2:9" x14ac:dyDescent="0.3">
      <c r="B147" s="890" t="s">
        <v>146</v>
      </c>
      <c r="C147" s="887"/>
      <c r="D147" s="974"/>
      <c r="E147" s="1502" t="s">
        <v>311</v>
      </c>
      <c r="F147" s="1503"/>
      <c r="G147" s="1504"/>
      <c r="H147" s="786" t="s">
        <v>147</v>
      </c>
      <c r="I147" s="1487" t="s">
        <v>547</v>
      </c>
    </row>
    <row r="148" spans="2:9" ht="16.8" x14ac:dyDescent="0.4">
      <c r="B148" s="946"/>
      <c r="C148" s="947"/>
      <c r="D148" s="999"/>
      <c r="E148" s="1488"/>
      <c r="F148" s="1489"/>
      <c r="G148" s="1490"/>
      <c r="H148" s="655"/>
      <c r="I148" s="1491"/>
    </row>
    <row r="149" spans="2:9" x14ac:dyDescent="0.3">
      <c r="B149" s="890" t="s">
        <v>252</v>
      </c>
      <c r="C149" s="887"/>
      <c r="D149" s="974"/>
      <c r="E149" s="1502" t="s">
        <v>311</v>
      </c>
      <c r="F149" s="1503"/>
      <c r="G149" s="1504"/>
      <c r="H149" s="786" t="s">
        <v>147</v>
      </c>
      <c r="I149" s="1487" t="s">
        <v>547</v>
      </c>
    </row>
    <row r="150" spans="2:9" ht="16.8" x14ac:dyDescent="0.4">
      <c r="B150" s="946"/>
      <c r="C150" s="947"/>
      <c r="D150" s="999"/>
      <c r="E150" s="1488"/>
      <c r="F150" s="1489"/>
      <c r="G150" s="1490"/>
      <c r="H150" s="655"/>
      <c r="I150" s="1491"/>
    </row>
    <row r="151" spans="2:9" x14ac:dyDescent="0.3">
      <c r="B151" s="890" t="s">
        <v>732</v>
      </c>
      <c r="C151" s="887"/>
      <c r="D151" s="887"/>
      <c r="E151" s="887"/>
      <c r="F151" s="887"/>
      <c r="G151" s="887"/>
      <c r="H151" s="887"/>
      <c r="I151" s="975"/>
    </row>
    <row r="152" spans="2:9" ht="15.6" customHeight="1" x14ac:dyDescent="0.3">
      <c r="B152" s="988"/>
      <c r="C152" s="989"/>
      <c r="D152" s="989"/>
      <c r="E152" s="989"/>
      <c r="F152" s="989"/>
      <c r="G152" s="989"/>
      <c r="H152" s="989"/>
      <c r="I152" s="1492"/>
    </row>
    <row r="153" spans="2:9" ht="15.6" customHeight="1" x14ac:dyDescent="0.3">
      <c r="B153" s="946"/>
      <c r="C153" s="947"/>
      <c r="D153" s="947"/>
      <c r="E153" s="947"/>
      <c r="F153" s="947"/>
      <c r="G153" s="947"/>
      <c r="H153" s="947"/>
      <c r="I153" s="995"/>
    </row>
    <row r="154" spans="2:9" x14ac:dyDescent="0.3">
      <c r="B154" s="1493" t="s">
        <v>733</v>
      </c>
      <c r="C154" s="944"/>
      <c r="D154" s="945"/>
      <c r="E154" s="1494" t="s">
        <v>311</v>
      </c>
      <c r="F154" s="1495"/>
      <c r="G154" s="1496"/>
      <c r="H154" s="1216" t="s">
        <v>547</v>
      </c>
      <c r="I154" s="1497"/>
    </row>
    <row r="155" spans="2:9" ht="17.399999999999999" thickBot="1" x14ac:dyDescent="0.45">
      <c r="B155" s="888"/>
      <c r="C155" s="889"/>
      <c r="D155" s="1002"/>
      <c r="E155" s="1498"/>
      <c r="F155" s="1499"/>
      <c r="G155" s="1500"/>
      <c r="H155" s="891"/>
      <c r="I155" s="1501"/>
    </row>
    <row r="156" spans="2:9" ht="16.2" thickBot="1" x14ac:dyDescent="0.35">
      <c r="B156" s="826" t="s">
        <v>737</v>
      </c>
      <c r="C156" s="827"/>
      <c r="D156" s="827"/>
      <c r="E156" s="827"/>
      <c r="F156" s="827"/>
      <c r="G156" s="827"/>
      <c r="H156" s="827"/>
      <c r="I156" s="834"/>
    </row>
    <row r="157" spans="2:9" x14ac:dyDescent="0.3">
      <c r="B157" s="890" t="s">
        <v>612</v>
      </c>
      <c r="C157" s="887"/>
      <c r="D157" s="974"/>
      <c r="E157" s="99" t="s">
        <v>619</v>
      </c>
      <c r="F157" s="924" t="s">
        <v>623</v>
      </c>
      <c r="G157" s="924"/>
      <c r="H157" s="924" t="s">
        <v>629</v>
      </c>
      <c r="I157" s="925"/>
    </row>
    <row r="158" spans="2:9" ht="15.6" x14ac:dyDescent="0.3">
      <c r="B158" s="946"/>
      <c r="C158" s="947"/>
      <c r="D158" s="999"/>
      <c r="E158" s="1448"/>
      <c r="F158" s="994"/>
      <c r="G158" s="999"/>
      <c r="H158" s="1449"/>
      <c r="I158" s="995"/>
    </row>
    <row r="159" spans="2:9" x14ac:dyDescent="0.3">
      <c r="B159" s="890" t="s">
        <v>631</v>
      </c>
      <c r="C159" s="974"/>
      <c r="D159" s="886" t="s">
        <v>633</v>
      </c>
      <c r="E159" s="974"/>
      <c r="F159" s="886" t="s">
        <v>638</v>
      </c>
      <c r="G159" s="974"/>
      <c r="H159" s="886" t="s">
        <v>647</v>
      </c>
      <c r="I159" s="975"/>
    </row>
    <row r="160" spans="2:9" x14ac:dyDescent="0.3">
      <c r="B160" s="1450"/>
      <c r="C160" s="1451"/>
      <c r="D160" s="1451"/>
      <c r="E160" s="1451"/>
      <c r="F160" s="1451"/>
      <c r="G160" s="1451"/>
      <c r="H160" s="1451"/>
      <c r="I160" s="1452"/>
    </row>
    <row r="161" spans="2:13" x14ac:dyDescent="0.3">
      <c r="B161" s="930" t="s">
        <v>649</v>
      </c>
      <c r="C161" s="924"/>
      <c r="D161" s="924"/>
      <c r="E161" s="924"/>
      <c r="F161" s="924" t="s">
        <v>728</v>
      </c>
      <c r="G161" s="924"/>
      <c r="H161" s="924"/>
      <c r="I161" s="925"/>
    </row>
    <row r="162" spans="2:13" ht="15.6" x14ac:dyDescent="0.3">
      <c r="B162" s="1450"/>
      <c r="C162" s="1453"/>
      <c r="D162" s="1454"/>
      <c r="E162" s="999"/>
      <c r="F162" s="1451"/>
      <c r="G162" s="1453"/>
      <c r="H162" s="1454"/>
      <c r="I162" s="995"/>
    </row>
    <row r="163" spans="2:13" ht="15.6" x14ac:dyDescent="0.3">
      <c r="B163" s="1455"/>
      <c r="C163" s="1456"/>
      <c r="D163" s="1457"/>
      <c r="E163" s="1018"/>
      <c r="F163" s="1013"/>
      <c r="G163" s="1456"/>
      <c r="H163" s="1457"/>
      <c r="I163" s="1458"/>
    </row>
    <row r="164" spans="2:13" ht="15.6" x14ac:dyDescent="0.3">
      <c r="B164" s="1455"/>
      <c r="C164" s="1456"/>
      <c r="D164" s="1457"/>
      <c r="E164" s="1018"/>
      <c r="F164" s="1013"/>
      <c r="G164" s="1456"/>
      <c r="H164" s="1457"/>
      <c r="I164" s="1458"/>
    </row>
    <row r="165" spans="2:13" ht="15.6" x14ac:dyDescent="0.3">
      <c r="B165" s="1455"/>
      <c r="C165" s="1456"/>
      <c r="D165" s="1457"/>
      <c r="E165" s="1018"/>
      <c r="F165" s="1013"/>
      <c r="G165" s="1456"/>
      <c r="H165" s="1457"/>
      <c r="I165" s="1458"/>
      <c r="L165" s="1460"/>
      <c r="M165" s="1460"/>
    </row>
    <row r="166" spans="2:13" ht="15.6" x14ac:dyDescent="0.3">
      <c r="B166" s="1455"/>
      <c r="C166" s="1456"/>
      <c r="D166" s="1457"/>
      <c r="E166" s="1018"/>
      <c r="F166" s="1013"/>
      <c r="G166" s="1456"/>
      <c r="H166" s="1457"/>
      <c r="I166" s="1458"/>
    </row>
    <row r="167" spans="2:13" ht="15.6" x14ac:dyDescent="0.3">
      <c r="B167" s="1455"/>
      <c r="C167" s="1456"/>
      <c r="D167" s="1457"/>
      <c r="E167" s="1018"/>
      <c r="F167" s="1013"/>
      <c r="G167" s="1456"/>
      <c r="H167" s="1457"/>
      <c r="I167" s="1458"/>
    </row>
    <row r="168" spans="2:13" ht="15.6" x14ac:dyDescent="0.3">
      <c r="B168" s="1455"/>
      <c r="C168" s="1456"/>
      <c r="D168" s="1457"/>
      <c r="E168" s="1018"/>
      <c r="F168" s="1461"/>
      <c r="G168" s="1462"/>
      <c r="H168" s="1462"/>
      <c r="I168" s="1463"/>
    </row>
    <row r="169" spans="2:13" ht="15.6" x14ac:dyDescent="0.3">
      <c r="B169" s="1455"/>
      <c r="C169" s="1456"/>
      <c r="D169" s="1457"/>
      <c r="E169" s="1018"/>
      <c r="F169" s="1464"/>
      <c r="G169" s="1465"/>
      <c r="H169" s="1465"/>
      <c r="I169" s="1466"/>
    </row>
    <row r="170" spans="2:13" ht="15.6" customHeight="1" x14ac:dyDescent="0.3">
      <c r="B170" s="1467" t="s">
        <v>729</v>
      </c>
      <c r="C170" s="1468"/>
      <c r="D170" s="1468"/>
      <c r="E170" s="1468"/>
      <c r="F170" s="1468"/>
      <c r="G170" s="1468"/>
      <c r="H170" s="1468"/>
      <c r="I170" s="1469"/>
    </row>
    <row r="171" spans="2:13" x14ac:dyDescent="0.3">
      <c r="B171" s="1470" t="s">
        <v>23</v>
      </c>
      <c r="C171" s="1471" t="s">
        <v>170</v>
      </c>
      <c r="D171" s="1472" t="s">
        <v>175</v>
      </c>
      <c r="E171" s="1472" t="s">
        <v>174</v>
      </c>
      <c r="F171" s="1471" t="s">
        <v>25</v>
      </c>
      <c r="G171" s="1471" t="s">
        <v>157</v>
      </c>
      <c r="H171" s="1471" t="s">
        <v>26</v>
      </c>
      <c r="I171" s="1473" t="s">
        <v>730</v>
      </c>
    </row>
    <row r="172" spans="2:13" x14ac:dyDescent="0.3">
      <c r="B172" s="1474" t="s">
        <v>158</v>
      </c>
      <c r="C172" s="1475"/>
      <c r="D172" s="1476"/>
      <c r="E172" s="1476"/>
      <c r="F172" s="1477"/>
      <c r="G172" s="1477"/>
      <c r="H172" s="1505">
        <f>F172*(1+(G172/100))</f>
        <v>0</v>
      </c>
      <c r="I172" s="1478"/>
    </row>
    <row r="173" spans="2:13" x14ac:dyDescent="0.3">
      <c r="B173" s="1474" t="s">
        <v>159</v>
      </c>
      <c r="C173" s="1475"/>
      <c r="D173" s="1476"/>
      <c r="E173" s="1476"/>
      <c r="F173" s="1477"/>
      <c r="G173" s="1477"/>
      <c r="H173" s="1505">
        <f t="shared" ref="H173:H176" si="4">F173*(1+(G173/100))</f>
        <v>0</v>
      </c>
      <c r="I173" s="1478"/>
    </row>
    <row r="174" spans="2:13" x14ac:dyDescent="0.3">
      <c r="B174" s="1474" t="s">
        <v>176</v>
      </c>
      <c r="C174" s="1475"/>
      <c r="D174" s="1476"/>
      <c r="E174" s="1476"/>
      <c r="F174" s="1477"/>
      <c r="G174" s="1477"/>
      <c r="H174" s="1505">
        <f t="shared" si="4"/>
        <v>0</v>
      </c>
      <c r="I174" s="1478"/>
    </row>
    <row r="175" spans="2:13" x14ac:dyDescent="0.3">
      <c r="B175" s="1474" t="s">
        <v>177</v>
      </c>
      <c r="C175" s="1475"/>
      <c r="D175" s="1476"/>
      <c r="E175" s="1476"/>
      <c r="F175" s="1477"/>
      <c r="G175" s="1477"/>
      <c r="H175" s="1505">
        <f t="shared" si="4"/>
        <v>0</v>
      </c>
      <c r="I175" s="1478"/>
    </row>
    <row r="176" spans="2:13" x14ac:dyDescent="0.3">
      <c r="B176" s="1474" t="s">
        <v>178</v>
      </c>
      <c r="C176" s="785"/>
      <c r="D176" s="1479"/>
      <c r="E176" s="1479"/>
      <c r="F176" s="1480"/>
      <c r="G176" s="1480"/>
      <c r="H176" s="1505">
        <f t="shared" si="4"/>
        <v>0</v>
      </c>
      <c r="I176" s="1478"/>
    </row>
    <row r="177" spans="2:9" x14ac:dyDescent="0.3">
      <c r="B177" s="890" t="s">
        <v>731</v>
      </c>
      <c r="C177" s="887"/>
      <c r="D177" s="887"/>
      <c r="E177" s="887"/>
      <c r="F177" s="887"/>
      <c r="G177" s="887"/>
      <c r="H177" s="887"/>
      <c r="I177" s="975"/>
    </row>
    <row r="178" spans="2:9" ht="16.2" customHeight="1" x14ac:dyDescent="0.3">
      <c r="B178" s="1481"/>
      <c r="C178" s="1482"/>
      <c r="D178" s="1482"/>
      <c r="E178" s="1482"/>
      <c r="F178" s="1482"/>
      <c r="G178" s="1482"/>
      <c r="H178" s="1482"/>
      <c r="I178" s="1483"/>
    </row>
    <row r="179" spans="2:9" ht="14.4" customHeight="1" x14ac:dyDescent="0.3">
      <c r="B179" s="1481"/>
      <c r="C179" s="1482"/>
      <c r="D179" s="1482"/>
      <c r="E179" s="1482"/>
      <c r="F179" s="1482"/>
      <c r="G179" s="1482"/>
      <c r="H179" s="1482"/>
      <c r="I179" s="1483"/>
    </row>
    <row r="180" spans="2:9" ht="14.4" customHeight="1" x14ac:dyDescent="0.3">
      <c r="B180" s="1481"/>
      <c r="C180" s="1482"/>
      <c r="D180" s="1482"/>
      <c r="E180" s="1482"/>
      <c r="F180" s="1482"/>
      <c r="G180" s="1482"/>
      <c r="H180" s="1482"/>
      <c r="I180" s="1483"/>
    </row>
    <row r="181" spans="2:9" ht="14.4" customHeight="1" x14ac:dyDescent="0.3">
      <c r="B181" s="1481"/>
      <c r="C181" s="1482"/>
      <c r="D181" s="1482"/>
      <c r="E181" s="1482"/>
      <c r="F181" s="1482"/>
      <c r="G181" s="1482"/>
      <c r="H181" s="1482"/>
      <c r="I181" s="1483"/>
    </row>
    <row r="182" spans="2:9" ht="14.4" customHeight="1" x14ac:dyDescent="0.3">
      <c r="B182" s="1481"/>
      <c r="C182" s="1482"/>
      <c r="D182" s="1482"/>
      <c r="E182" s="1482"/>
      <c r="F182" s="1482"/>
      <c r="G182" s="1482"/>
      <c r="H182" s="1482"/>
      <c r="I182" s="1483"/>
    </row>
    <row r="183" spans="2:9" ht="14.4" customHeight="1" x14ac:dyDescent="0.3">
      <c r="B183" s="1484"/>
      <c r="C183" s="1485"/>
      <c r="D183" s="1485"/>
      <c r="E183" s="1485"/>
      <c r="F183" s="1485"/>
      <c r="G183" s="1485"/>
      <c r="H183" s="1485"/>
      <c r="I183" s="1486"/>
    </row>
    <row r="184" spans="2:9" x14ac:dyDescent="0.3">
      <c r="B184" s="890" t="s">
        <v>146</v>
      </c>
      <c r="C184" s="887"/>
      <c r="D184" s="974"/>
      <c r="E184" s="1502" t="s">
        <v>311</v>
      </c>
      <c r="F184" s="1503"/>
      <c r="G184" s="1504"/>
      <c r="H184" s="786" t="s">
        <v>147</v>
      </c>
      <c r="I184" s="1487" t="s">
        <v>547</v>
      </c>
    </row>
    <row r="185" spans="2:9" ht="16.8" x14ac:dyDescent="0.4">
      <c r="B185" s="946"/>
      <c r="C185" s="947"/>
      <c r="D185" s="999"/>
      <c r="E185" s="1488"/>
      <c r="F185" s="1489"/>
      <c r="G185" s="1490"/>
      <c r="H185" s="655"/>
      <c r="I185" s="1491"/>
    </row>
    <row r="186" spans="2:9" x14ac:dyDescent="0.3">
      <c r="B186" s="890" t="s">
        <v>252</v>
      </c>
      <c r="C186" s="887"/>
      <c r="D186" s="974"/>
      <c r="E186" s="1502" t="s">
        <v>311</v>
      </c>
      <c r="F186" s="1503"/>
      <c r="G186" s="1504"/>
      <c r="H186" s="786" t="s">
        <v>147</v>
      </c>
      <c r="I186" s="1487" t="s">
        <v>547</v>
      </c>
    </row>
    <row r="187" spans="2:9" ht="16.8" x14ac:dyDescent="0.4">
      <c r="B187" s="946"/>
      <c r="C187" s="947"/>
      <c r="D187" s="999"/>
      <c r="E187" s="1488"/>
      <c r="F187" s="1489"/>
      <c r="G187" s="1490"/>
      <c r="H187" s="655"/>
      <c r="I187" s="1491"/>
    </row>
    <row r="188" spans="2:9" x14ac:dyDescent="0.3">
      <c r="B188" s="890" t="s">
        <v>732</v>
      </c>
      <c r="C188" s="887"/>
      <c r="D188" s="887"/>
      <c r="E188" s="887"/>
      <c r="F188" s="887"/>
      <c r="G188" s="887"/>
      <c r="H188" s="887"/>
      <c r="I188" s="975"/>
    </row>
    <row r="189" spans="2:9" ht="15.6" customHeight="1" x14ac:dyDescent="0.3">
      <c r="B189" s="988"/>
      <c r="C189" s="989"/>
      <c r="D189" s="989"/>
      <c r="E189" s="989"/>
      <c r="F189" s="989"/>
      <c r="G189" s="989"/>
      <c r="H189" s="989"/>
      <c r="I189" s="1492"/>
    </row>
    <row r="190" spans="2:9" ht="15.6" customHeight="1" x14ac:dyDescent="0.3">
      <c r="B190" s="946"/>
      <c r="C190" s="947"/>
      <c r="D190" s="947"/>
      <c r="E190" s="947"/>
      <c r="F190" s="947"/>
      <c r="G190" s="947"/>
      <c r="H190" s="947"/>
      <c r="I190" s="995"/>
    </row>
    <row r="191" spans="2:9" x14ac:dyDescent="0.3">
      <c r="B191" s="1493" t="s">
        <v>733</v>
      </c>
      <c r="C191" s="944"/>
      <c r="D191" s="945"/>
      <c r="E191" s="1494" t="s">
        <v>311</v>
      </c>
      <c r="F191" s="1495"/>
      <c r="G191" s="1496"/>
      <c r="H191" s="1216" t="s">
        <v>547</v>
      </c>
      <c r="I191" s="1497"/>
    </row>
    <row r="192" spans="2:9" ht="17.399999999999999" thickBot="1" x14ac:dyDescent="0.45">
      <c r="B192" s="888"/>
      <c r="C192" s="889"/>
      <c r="D192" s="1002"/>
      <c r="E192" s="1498"/>
      <c r="F192" s="1499"/>
      <c r="G192" s="1500"/>
      <c r="H192" s="891"/>
      <c r="I192" s="1501"/>
    </row>
  </sheetData>
  <mergeCells count="328">
    <mergeCell ref="B177:I177"/>
    <mergeCell ref="B140:I140"/>
    <mergeCell ref="B103:I103"/>
    <mergeCell ref="B66:I66"/>
    <mergeCell ref="B29:I29"/>
    <mergeCell ref="B188:I188"/>
    <mergeCell ref="B189:I190"/>
    <mergeCell ref="B191:D191"/>
    <mergeCell ref="E191:G191"/>
    <mergeCell ref="H191:I191"/>
    <mergeCell ref="B192:D192"/>
    <mergeCell ref="E192:G192"/>
    <mergeCell ref="H192:I192"/>
    <mergeCell ref="B170:I170"/>
    <mergeCell ref="B178:I183"/>
    <mergeCell ref="B185:D185"/>
    <mergeCell ref="E185:G185"/>
    <mergeCell ref="B187:D187"/>
    <mergeCell ref="E187:G187"/>
    <mergeCell ref="B184:D184"/>
    <mergeCell ref="B186:D186"/>
    <mergeCell ref="E184:G184"/>
    <mergeCell ref="E186:G186"/>
    <mergeCell ref="B167:C167"/>
    <mergeCell ref="D167:E167"/>
    <mergeCell ref="F167:G167"/>
    <mergeCell ref="H167:I167"/>
    <mergeCell ref="B168:C168"/>
    <mergeCell ref="D168:E168"/>
    <mergeCell ref="F168:I169"/>
    <mergeCell ref="B169:C169"/>
    <mergeCell ref="D169:E169"/>
    <mergeCell ref="B165:C165"/>
    <mergeCell ref="D165:E165"/>
    <mergeCell ref="F165:G165"/>
    <mergeCell ref="H165:I165"/>
    <mergeCell ref="B166:C166"/>
    <mergeCell ref="D166:E166"/>
    <mergeCell ref="F166:G166"/>
    <mergeCell ref="H166:I166"/>
    <mergeCell ref="B163:C163"/>
    <mergeCell ref="D163:E163"/>
    <mergeCell ref="F163:G163"/>
    <mergeCell ref="H163:I163"/>
    <mergeCell ref="B164:C164"/>
    <mergeCell ref="D164:E164"/>
    <mergeCell ref="F164:G164"/>
    <mergeCell ref="H164:I164"/>
    <mergeCell ref="B161:E161"/>
    <mergeCell ref="F161:I161"/>
    <mergeCell ref="B162:C162"/>
    <mergeCell ref="D162:E162"/>
    <mergeCell ref="F162:G162"/>
    <mergeCell ref="H162:I162"/>
    <mergeCell ref="B159:C159"/>
    <mergeCell ref="D159:E159"/>
    <mergeCell ref="F159:G159"/>
    <mergeCell ref="H159:I159"/>
    <mergeCell ref="B160:C160"/>
    <mergeCell ref="D160:E160"/>
    <mergeCell ref="F160:G160"/>
    <mergeCell ref="H160:I160"/>
    <mergeCell ref="B156:I156"/>
    <mergeCell ref="B157:D157"/>
    <mergeCell ref="F157:G157"/>
    <mergeCell ref="H157:I157"/>
    <mergeCell ref="B158:D158"/>
    <mergeCell ref="F158:G158"/>
    <mergeCell ref="H158:I158"/>
    <mergeCell ref="B151:I151"/>
    <mergeCell ref="B152:I153"/>
    <mergeCell ref="B154:D154"/>
    <mergeCell ref="E154:G154"/>
    <mergeCell ref="H154:I154"/>
    <mergeCell ref="B155:D155"/>
    <mergeCell ref="E155:G155"/>
    <mergeCell ref="H155:I155"/>
    <mergeCell ref="B133:I133"/>
    <mergeCell ref="B141:I146"/>
    <mergeCell ref="B148:D148"/>
    <mergeCell ref="E148:G148"/>
    <mergeCell ref="B150:D150"/>
    <mergeCell ref="E150:G150"/>
    <mergeCell ref="B147:D147"/>
    <mergeCell ref="B149:D149"/>
    <mergeCell ref="E147:G147"/>
    <mergeCell ref="E149:G149"/>
    <mergeCell ref="B130:C130"/>
    <mergeCell ref="D130:E130"/>
    <mergeCell ref="F130:G130"/>
    <mergeCell ref="H130:I130"/>
    <mergeCell ref="B131:C131"/>
    <mergeCell ref="D131:E131"/>
    <mergeCell ref="F131:I132"/>
    <mergeCell ref="B132:C132"/>
    <mergeCell ref="D132:E132"/>
    <mergeCell ref="B128:C128"/>
    <mergeCell ref="D128:E128"/>
    <mergeCell ref="F128:G128"/>
    <mergeCell ref="H128:I128"/>
    <mergeCell ref="B129:C129"/>
    <mergeCell ref="D129:E129"/>
    <mergeCell ref="F129:G129"/>
    <mergeCell ref="H129:I129"/>
    <mergeCell ref="B126:C126"/>
    <mergeCell ref="D126:E126"/>
    <mergeCell ref="F126:G126"/>
    <mergeCell ref="H126:I126"/>
    <mergeCell ref="B127:C127"/>
    <mergeCell ref="D127:E127"/>
    <mergeCell ref="F127:G127"/>
    <mergeCell ref="H127:I127"/>
    <mergeCell ref="B124:E124"/>
    <mergeCell ref="F124:I124"/>
    <mergeCell ref="B125:C125"/>
    <mergeCell ref="D125:E125"/>
    <mergeCell ref="F125:G125"/>
    <mergeCell ref="H125:I125"/>
    <mergeCell ref="B122:C122"/>
    <mergeCell ref="D122:E122"/>
    <mergeCell ref="F122:G122"/>
    <mergeCell ref="H122:I122"/>
    <mergeCell ref="B123:C123"/>
    <mergeCell ref="D123:E123"/>
    <mergeCell ref="F123:G123"/>
    <mergeCell ref="H123:I123"/>
    <mergeCell ref="B119:I119"/>
    <mergeCell ref="B120:D120"/>
    <mergeCell ref="F120:G120"/>
    <mergeCell ref="H120:I120"/>
    <mergeCell ref="B121:D121"/>
    <mergeCell ref="F121:G121"/>
    <mergeCell ref="H121:I121"/>
    <mergeCell ref="B114:I114"/>
    <mergeCell ref="B115:I116"/>
    <mergeCell ref="B117:D117"/>
    <mergeCell ref="E117:G117"/>
    <mergeCell ref="H117:I117"/>
    <mergeCell ref="B118:D118"/>
    <mergeCell ref="E118:G118"/>
    <mergeCell ref="H118:I118"/>
    <mergeCell ref="B96:I96"/>
    <mergeCell ref="B104:I109"/>
    <mergeCell ref="B111:D111"/>
    <mergeCell ref="E111:G111"/>
    <mergeCell ref="B113:D113"/>
    <mergeCell ref="E113:G113"/>
    <mergeCell ref="B110:D110"/>
    <mergeCell ref="B112:D112"/>
    <mergeCell ref="E110:G110"/>
    <mergeCell ref="E112:G112"/>
    <mergeCell ref="B93:C93"/>
    <mergeCell ref="D93:E93"/>
    <mergeCell ref="F93:G93"/>
    <mergeCell ref="H93:I93"/>
    <mergeCell ref="B94:C94"/>
    <mergeCell ref="D94:E94"/>
    <mergeCell ref="F94:I95"/>
    <mergeCell ref="B95:C95"/>
    <mergeCell ref="D95:E95"/>
    <mergeCell ref="B91:C91"/>
    <mergeCell ref="D91:E91"/>
    <mergeCell ref="F91:G91"/>
    <mergeCell ref="H91:I91"/>
    <mergeCell ref="B92:C92"/>
    <mergeCell ref="D92:E92"/>
    <mergeCell ref="F92:G92"/>
    <mergeCell ref="H92:I92"/>
    <mergeCell ref="B89:C89"/>
    <mergeCell ref="D89:E89"/>
    <mergeCell ref="F89:G89"/>
    <mergeCell ref="H89:I89"/>
    <mergeCell ref="B90:C90"/>
    <mergeCell ref="D90:E90"/>
    <mergeCell ref="F90:G90"/>
    <mergeCell ref="H90:I90"/>
    <mergeCell ref="B87:E87"/>
    <mergeCell ref="F87:I87"/>
    <mergeCell ref="B88:C88"/>
    <mergeCell ref="D88:E88"/>
    <mergeCell ref="F88:G88"/>
    <mergeCell ref="H88:I88"/>
    <mergeCell ref="B85:C85"/>
    <mergeCell ref="D85:E85"/>
    <mergeCell ref="F85:G85"/>
    <mergeCell ref="H85:I85"/>
    <mergeCell ref="B86:C86"/>
    <mergeCell ref="D86:E86"/>
    <mergeCell ref="F86:G86"/>
    <mergeCell ref="H86:I86"/>
    <mergeCell ref="B82:I82"/>
    <mergeCell ref="B83:D83"/>
    <mergeCell ref="F83:G83"/>
    <mergeCell ref="H83:I83"/>
    <mergeCell ref="B84:D84"/>
    <mergeCell ref="F84:G84"/>
    <mergeCell ref="H84:I84"/>
    <mergeCell ref="B77:I77"/>
    <mergeCell ref="B78:I79"/>
    <mergeCell ref="B80:D80"/>
    <mergeCell ref="E80:G80"/>
    <mergeCell ref="H80:I80"/>
    <mergeCell ref="B81:D81"/>
    <mergeCell ref="E81:G81"/>
    <mergeCell ref="H81:I81"/>
    <mergeCell ref="B59:I59"/>
    <mergeCell ref="B67:I72"/>
    <mergeCell ref="B74:D74"/>
    <mergeCell ref="E74:G74"/>
    <mergeCell ref="B76:D76"/>
    <mergeCell ref="E76:G76"/>
    <mergeCell ref="B73:D73"/>
    <mergeCell ref="B75:D75"/>
    <mergeCell ref="E73:G73"/>
    <mergeCell ref="E75:G75"/>
    <mergeCell ref="B56:C56"/>
    <mergeCell ref="D56:E56"/>
    <mergeCell ref="F56:G56"/>
    <mergeCell ref="H56:I56"/>
    <mergeCell ref="B57:C57"/>
    <mergeCell ref="D57:E57"/>
    <mergeCell ref="F57:I58"/>
    <mergeCell ref="B58:C58"/>
    <mergeCell ref="D58:E58"/>
    <mergeCell ref="B54:C54"/>
    <mergeCell ref="D54:E54"/>
    <mergeCell ref="F54:G54"/>
    <mergeCell ref="H54:I54"/>
    <mergeCell ref="B55:C55"/>
    <mergeCell ref="D55:E55"/>
    <mergeCell ref="F55:G55"/>
    <mergeCell ref="H55:I55"/>
    <mergeCell ref="B52:C52"/>
    <mergeCell ref="D52:E52"/>
    <mergeCell ref="F52:G52"/>
    <mergeCell ref="H52:I52"/>
    <mergeCell ref="B53:C53"/>
    <mergeCell ref="D53:E53"/>
    <mergeCell ref="F53:G53"/>
    <mergeCell ref="H53:I53"/>
    <mergeCell ref="B50:E50"/>
    <mergeCell ref="F50:I50"/>
    <mergeCell ref="B51:C51"/>
    <mergeCell ref="D51:E51"/>
    <mergeCell ref="F51:G51"/>
    <mergeCell ref="H51:I51"/>
    <mergeCell ref="B48:C48"/>
    <mergeCell ref="D48:E48"/>
    <mergeCell ref="F48:G48"/>
    <mergeCell ref="H48:I48"/>
    <mergeCell ref="B49:C49"/>
    <mergeCell ref="D49:E49"/>
    <mergeCell ref="F49:G49"/>
    <mergeCell ref="H49:I49"/>
    <mergeCell ref="B45:I45"/>
    <mergeCell ref="B46:D46"/>
    <mergeCell ref="F46:G46"/>
    <mergeCell ref="H46:I46"/>
    <mergeCell ref="B47:D47"/>
    <mergeCell ref="F47:G47"/>
    <mergeCell ref="H47:I47"/>
    <mergeCell ref="B41:I42"/>
    <mergeCell ref="B43:D43"/>
    <mergeCell ref="E43:G43"/>
    <mergeCell ref="H43:I43"/>
    <mergeCell ref="B44:D44"/>
    <mergeCell ref="E44:G44"/>
    <mergeCell ref="H44:I44"/>
    <mergeCell ref="B30:I35"/>
    <mergeCell ref="B37:D37"/>
    <mergeCell ref="E37:G37"/>
    <mergeCell ref="B39:D39"/>
    <mergeCell ref="E39:G39"/>
    <mergeCell ref="B40:I40"/>
    <mergeCell ref="E36:G36"/>
    <mergeCell ref="E38:G38"/>
    <mergeCell ref="B36:D36"/>
    <mergeCell ref="B38:D38"/>
    <mergeCell ref="B20:C20"/>
    <mergeCell ref="D20:E20"/>
    <mergeCell ref="F20:I21"/>
    <mergeCell ref="B21:C21"/>
    <mergeCell ref="D21:E21"/>
    <mergeCell ref="B22:I22"/>
    <mergeCell ref="B18:C18"/>
    <mergeCell ref="D18:E18"/>
    <mergeCell ref="F18:G18"/>
    <mergeCell ref="H18:I18"/>
    <mergeCell ref="B19:C19"/>
    <mergeCell ref="D19:E19"/>
    <mergeCell ref="F19:G19"/>
    <mergeCell ref="H19:I19"/>
    <mergeCell ref="B16:C16"/>
    <mergeCell ref="D16:E16"/>
    <mergeCell ref="F16:G16"/>
    <mergeCell ref="H16:I16"/>
    <mergeCell ref="B17:C17"/>
    <mergeCell ref="D17:E17"/>
    <mergeCell ref="F17:G17"/>
    <mergeCell ref="H17:I17"/>
    <mergeCell ref="B14:C14"/>
    <mergeCell ref="D14:E14"/>
    <mergeCell ref="F14:G14"/>
    <mergeCell ref="H14:I14"/>
    <mergeCell ref="B15:C15"/>
    <mergeCell ref="D15:E15"/>
    <mergeCell ref="F15:G15"/>
    <mergeCell ref="H15:I15"/>
    <mergeCell ref="B12:C12"/>
    <mergeCell ref="D12:E12"/>
    <mergeCell ref="F12:G12"/>
    <mergeCell ref="H12:I12"/>
    <mergeCell ref="B13:E13"/>
    <mergeCell ref="F13:I13"/>
    <mergeCell ref="B10:D10"/>
    <mergeCell ref="F10:G10"/>
    <mergeCell ref="H10:I10"/>
    <mergeCell ref="B11:C11"/>
    <mergeCell ref="D11:E11"/>
    <mergeCell ref="F11:G11"/>
    <mergeCell ref="H11:I11"/>
    <mergeCell ref="B1:F1"/>
    <mergeCell ref="G1:I1"/>
    <mergeCell ref="B2:I2"/>
    <mergeCell ref="B8:I8"/>
    <mergeCell ref="B9:D9"/>
    <mergeCell ref="F9:G9"/>
    <mergeCell ref="H9:I9"/>
  </mergeCells>
  <pageMargins left="0.7" right="0.7" top="0.75" bottom="0.75" header="0.3" footer="0.3"/>
  <pageSetup scale="62" fitToHeight="0" orientation="portrait" horizontalDpi="0" verticalDpi="0" r:id="rId1"/>
  <rowBreaks count="4" manualBreakCount="4">
    <brk id="44" min="1" max="8" man="1"/>
    <brk id="81" min="1" max="8" man="1"/>
    <brk id="118" min="1" max="8" man="1"/>
    <brk id="155" min="1" max="8" man="1"/>
  </rowBreaks>
  <drawing r:id="rId2"/>
  <legacyDrawing r:id="rId3"/>
  <mc:AlternateContent xmlns:mc="http://schemas.openxmlformats.org/markup-compatibility/2006">
    <mc:Choice Requires="x14">
      <controls>
        <mc:AlternateContent xmlns:mc="http://schemas.openxmlformats.org/markup-compatibility/2006">
          <mc:Choice Requires="x14">
            <control shapeId="17409" r:id="rId4" name="Check Box 1">
              <controlPr defaultSize="0" autoFill="0" autoLine="0" autoPict="0">
                <anchor moveWithCells="1">
                  <from>
                    <xdr:col>1</xdr:col>
                    <xdr:colOff>22860</xdr:colOff>
                    <xdr:row>11</xdr:row>
                    <xdr:rowOff>0</xdr:rowOff>
                  </from>
                  <to>
                    <xdr:col>2</xdr:col>
                    <xdr:colOff>144780</xdr:colOff>
                    <xdr:row>12</xdr:row>
                    <xdr:rowOff>22860</xdr:rowOff>
                  </to>
                </anchor>
              </controlPr>
            </control>
          </mc:Choice>
        </mc:AlternateContent>
        <mc:AlternateContent xmlns:mc="http://schemas.openxmlformats.org/markup-compatibility/2006">
          <mc:Choice Requires="x14">
            <control shapeId="17410" r:id="rId5" name="Check Box 2">
              <controlPr defaultSize="0" autoFill="0" autoLine="0" autoPict="0">
                <anchor moveWithCells="1">
                  <from>
                    <xdr:col>1</xdr:col>
                    <xdr:colOff>990600</xdr:colOff>
                    <xdr:row>11</xdr:row>
                    <xdr:rowOff>22860</xdr:rowOff>
                  </from>
                  <to>
                    <xdr:col>2</xdr:col>
                    <xdr:colOff>1158240</xdr:colOff>
                    <xdr:row>12</xdr:row>
                    <xdr:rowOff>15240</xdr:rowOff>
                  </to>
                </anchor>
              </controlPr>
            </control>
          </mc:Choice>
        </mc:AlternateContent>
        <mc:AlternateContent xmlns:mc="http://schemas.openxmlformats.org/markup-compatibility/2006">
          <mc:Choice Requires="x14">
            <control shapeId="17411" r:id="rId6" name="Check Box 3">
              <controlPr defaultSize="0" autoFill="0" autoLine="0" autoPict="0">
                <anchor moveWithCells="1">
                  <from>
                    <xdr:col>3</xdr:col>
                    <xdr:colOff>22860</xdr:colOff>
                    <xdr:row>11</xdr:row>
                    <xdr:rowOff>0</xdr:rowOff>
                  </from>
                  <to>
                    <xdr:col>3</xdr:col>
                    <xdr:colOff>944880</xdr:colOff>
                    <xdr:row>12</xdr:row>
                    <xdr:rowOff>22860</xdr:rowOff>
                  </to>
                </anchor>
              </controlPr>
            </control>
          </mc:Choice>
        </mc:AlternateContent>
        <mc:AlternateContent xmlns:mc="http://schemas.openxmlformats.org/markup-compatibility/2006">
          <mc:Choice Requires="x14">
            <control shapeId="17412" r:id="rId7" name="Check Box 4">
              <controlPr defaultSize="0" autoFill="0" autoLine="0" autoPict="0">
                <anchor moveWithCells="1">
                  <from>
                    <xdr:col>3</xdr:col>
                    <xdr:colOff>990600</xdr:colOff>
                    <xdr:row>11</xdr:row>
                    <xdr:rowOff>22860</xdr:rowOff>
                  </from>
                  <to>
                    <xdr:col>4</xdr:col>
                    <xdr:colOff>662940</xdr:colOff>
                    <xdr:row>12</xdr:row>
                    <xdr:rowOff>15240</xdr:rowOff>
                  </to>
                </anchor>
              </controlPr>
            </control>
          </mc:Choice>
        </mc:AlternateContent>
        <mc:AlternateContent xmlns:mc="http://schemas.openxmlformats.org/markup-compatibility/2006">
          <mc:Choice Requires="x14">
            <control shapeId="17413" r:id="rId8" name="Check Box 5">
              <controlPr defaultSize="0" autoFill="0" autoLine="0" autoPict="0">
                <anchor moveWithCells="1">
                  <from>
                    <xdr:col>5</xdr:col>
                    <xdr:colOff>22860</xdr:colOff>
                    <xdr:row>11</xdr:row>
                    <xdr:rowOff>0</xdr:rowOff>
                  </from>
                  <to>
                    <xdr:col>5</xdr:col>
                    <xdr:colOff>944880</xdr:colOff>
                    <xdr:row>12</xdr:row>
                    <xdr:rowOff>22860</xdr:rowOff>
                  </to>
                </anchor>
              </controlPr>
            </control>
          </mc:Choice>
        </mc:AlternateContent>
        <mc:AlternateContent xmlns:mc="http://schemas.openxmlformats.org/markup-compatibility/2006">
          <mc:Choice Requires="x14">
            <control shapeId="17414" r:id="rId9" name="Check Box 6">
              <controlPr defaultSize="0" autoFill="0" autoLine="0" autoPict="0">
                <anchor moveWithCells="1">
                  <from>
                    <xdr:col>5</xdr:col>
                    <xdr:colOff>990600</xdr:colOff>
                    <xdr:row>11</xdr:row>
                    <xdr:rowOff>22860</xdr:rowOff>
                  </from>
                  <to>
                    <xdr:col>6</xdr:col>
                    <xdr:colOff>1074420</xdr:colOff>
                    <xdr:row>12</xdr:row>
                    <xdr:rowOff>15240</xdr:rowOff>
                  </to>
                </anchor>
              </controlPr>
            </control>
          </mc:Choice>
        </mc:AlternateContent>
        <mc:AlternateContent xmlns:mc="http://schemas.openxmlformats.org/markup-compatibility/2006">
          <mc:Choice Requires="x14">
            <control shapeId="17415" r:id="rId10" name="Check Box 7">
              <controlPr defaultSize="0" autoFill="0" autoLine="0" autoPict="0">
                <anchor moveWithCells="1">
                  <from>
                    <xdr:col>1</xdr:col>
                    <xdr:colOff>22860</xdr:colOff>
                    <xdr:row>13</xdr:row>
                    <xdr:rowOff>7620</xdr:rowOff>
                  </from>
                  <to>
                    <xdr:col>2</xdr:col>
                    <xdr:colOff>1196340</xdr:colOff>
                    <xdr:row>14</xdr:row>
                    <xdr:rowOff>38100</xdr:rowOff>
                  </to>
                </anchor>
              </controlPr>
            </control>
          </mc:Choice>
        </mc:AlternateContent>
        <mc:AlternateContent xmlns:mc="http://schemas.openxmlformats.org/markup-compatibility/2006">
          <mc:Choice Requires="x14">
            <control shapeId="17416" r:id="rId11" name="Check Box 8">
              <controlPr defaultSize="0" autoFill="0" autoLine="0" autoPict="0">
                <anchor moveWithCells="1">
                  <from>
                    <xdr:col>5</xdr:col>
                    <xdr:colOff>22860</xdr:colOff>
                    <xdr:row>13</xdr:row>
                    <xdr:rowOff>0</xdr:rowOff>
                  </from>
                  <to>
                    <xdr:col>6</xdr:col>
                    <xdr:colOff>1463040</xdr:colOff>
                    <xdr:row>14</xdr:row>
                    <xdr:rowOff>45720</xdr:rowOff>
                  </to>
                </anchor>
              </controlPr>
            </control>
          </mc:Choice>
        </mc:AlternateContent>
        <mc:AlternateContent xmlns:mc="http://schemas.openxmlformats.org/markup-compatibility/2006">
          <mc:Choice Requires="x14">
            <control shapeId="17417" r:id="rId12" name="Check Box 9">
              <controlPr defaultSize="0" autoFill="0" autoLine="0" autoPict="0">
                <anchor moveWithCells="1">
                  <from>
                    <xdr:col>1</xdr:col>
                    <xdr:colOff>38100</xdr:colOff>
                    <xdr:row>13</xdr:row>
                    <xdr:rowOff>182880</xdr:rowOff>
                  </from>
                  <to>
                    <xdr:col>2</xdr:col>
                    <xdr:colOff>1211580</xdr:colOff>
                    <xdr:row>15</xdr:row>
                    <xdr:rowOff>45720</xdr:rowOff>
                  </to>
                </anchor>
              </controlPr>
            </control>
          </mc:Choice>
        </mc:AlternateContent>
        <mc:AlternateContent xmlns:mc="http://schemas.openxmlformats.org/markup-compatibility/2006">
          <mc:Choice Requires="x14">
            <control shapeId="17418" r:id="rId13" name="Check Box 10">
              <controlPr defaultSize="0" autoFill="0" autoLine="0" autoPict="0">
                <anchor moveWithCells="1">
                  <from>
                    <xdr:col>5</xdr:col>
                    <xdr:colOff>22860</xdr:colOff>
                    <xdr:row>14</xdr:row>
                    <xdr:rowOff>0</xdr:rowOff>
                  </from>
                  <to>
                    <xdr:col>6</xdr:col>
                    <xdr:colOff>1463040</xdr:colOff>
                    <xdr:row>15</xdr:row>
                    <xdr:rowOff>45720</xdr:rowOff>
                  </to>
                </anchor>
              </controlPr>
            </control>
          </mc:Choice>
        </mc:AlternateContent>
        <mc:AlternateContent xmlns:mc="http://schemas.openxmlformats.org/markup-compatibility/2006">
          <mc:Choice Requires="x14">
            <control shapeId="17419" r:id="rId14" name="Check Box 11">
              <controlPr defaultSize="0" autoFill="0" autoLine="0" autoPict="0">
                <anchor moveWithCells="1">
                  <from>
                    <xdr:col>1</xdr:col>
                    <xdr:colOff>22860</xdr:colOff>
                    <xdr:row>15</xdr:row>
                    <xdr:rowOff>7620</xdr:rowOff>
                  </from>
                  <to>
                    <xdr:col>2</xdr:col>
                    <xdr:colOff>1196340</xdr:colOff>
                    <xdr:row>16</xdr:row>
                    <xdr:rowOff>38100</xdr:rowOff>
                  </to>
                </anchor>
              </controlPr>
            </control>
          </mc:Choice>
        </mc:AlternateContent>
        <mc:AlternateContent xmlns:mc="http://schemas.openxmlformats.org/markup-compatibility/2006">
          <mc:Choice Requires="x14">
            <control shapeId="17420" r:id="rId15" name="Check Box 12">
              <controlPr defaultSize="0" autoFill="0" autoLine="0" autoPict="0">
                <anchor moveWithCells="1">
                  <from>
                    <xdr:col>5</xdr:col>
                    <xdr:colOff>22860</xdr:colOff>
                    <xdr:row>15</xdr:row>
                    <xdr:rowOff>0</xdr:rowOff>
                  </from>
                  <to>
                    <xdr:col>6</xdr:col>
                    <xdr:colOff>1463040</xdr:colOff>
                    <xdr:row>16</xdr:row>
                    <xdr:rowOff>45720</xdr:rowOff>
                  </to>
                </anchor>
              </controlPr>
            </control>
          </mc:Choice>
        </mc:AlternateContent>
        <mc:AlternateContent xmlns:mc="http://schemas.openxmlformats.org/markup-compatibility/2006">
          <mc:Choice Requires="x14">
            <control shapeId="17421" r:id="rId16" name="Check Box 13">
              <controlPr defaultSize="0" autoFill="0" autoLine="0" autoPict="0">
                <anchor moveWithCells="1">
                  <from>
                    <xdr:col>1</xdr:col>
                    <xdr:colOff>22860</xdr:colOff>
                    <xdr:row>16</xdr:row>
                    <xdr:rowOff>7620</xdr:rowOff>
                  </from>
                  <to>
                    <xdr:col>2</xdr:col>
                    <xdr:colOff>1196340</xdr:colOff>
                    <xdr:row>17</xdr:row>
                    <xdr:rowOff>38100</xdr:rowOff>
                  </to>
                </anchor>
              </controlPr>
            </control>
          </mc:Choice>
        </mc:AlternateContent>
        <mc:AlternateContent xmlns:mc="http://schemas.openxmlformats.org/markup-compatibility/2006">
          <mc:Choice Requires="x14">
            <control shapeId="17422" r:id="rId17" name="Check Box 14">
              <controlPr defaultSize="0" autoFill="0" autoLine="0" autoPict="0">
                <anchor moveWithCells="1">
                  <from>
                    <xdr:col>5</xdr:col>
                    <xdr:colOff>22860</xdr:colOff>
                    <xdr:row>16</xdr:row>
                    <xdr:rowOff>0</xdr:rowOff>
                  </from>
                  <to>
                    <xdr:col>6</xdr:col>
                    <xdr:colOff>1463040</xdr:colOff>
                    <xdr:row>17</xdr:row>
                    <xdr:rowOff>45720</xdr:rowOff>
                  </to>
                </anchor>
              </controlPr>
            </control>
          </mc:Choice>
        </mc:AlternateContent>
        <mc:AlternateContent xmlns:mc="http://schemas.openxmlformats.org/markup-compatibility/2006">
          <mc:Choice Requires="x14">
            <control shapeId="17423" r:id="rId18" name="Check Box 15">
              <controlPr defaultSize="0" autoFill="0" autoLine="0" autoPict="0">
                <anchor moveWithCells="1">
                  <from>
                    <xdr:col>1</xdr:col>
                    <xdr:colOff>22860</xdr:colOff>
                    <xdr:row>17</xdr:row>
                    <xdr:rowOff>7620</xdr:rowOff>
                  </from>
                  <to>
                    <xdr:col>2</xdr:col>
                    <xdr:colOff>1196340</xdr:colOff>
                    <xdr:row>18</xdr:row>
                    <xdr:rowOff>38100</xdr:rowOff>
                  </to>
                </anchor>
              </controlPr>
            </control>
          </mc:Choice>
        </mc:AlternateContent>
        <mc:AlternateContent xmlns:mc="http://schemas.openxmlformats.org/markup-compatibility/2006">
          <mc:Choice Requires="x14">
            <control shapeId="17424" r:id="rId19" name="Check Box 16">
              <controlPr defaultSize="0" autoFill="0" autoLine="0" autoPict="0">
                <anchor moveWithCells="1">
                  <from>
                    <xdr:col>5</xdr:col>
                    <xdr:colOff>22860</xdr:colOff>
                    <xdr:row>17</xdr:row>
                    <xdr:rowOff>0</xdr:rowOff>
                  </from>
                  <to>
                    <xdr:col>6</xdr:col>
                    <xdr:colOff>1463040</xdr:colOff>
                    <xdr:row>18</xdr:row>
                    <xdr:rowOff>45720</xdr:rowOff>
                  </to>
                </anchor>
              </controlPr>
            </control>
          </mc:Choice>
        </mc:AlternateContent>
        <mc:AlternateContent xmlns:mc="http://schemas.openxmlformats.org/markup-compatibility/2006">
          <mc:Choice Requires="x14">
            <control shapeId="17425" r:id="rId20" name="Check Box 17">
              <controlPr defaultSize="0" autoFill="0" autoLine="0" autoPict="0">
                <anchor moveWithCells="1">
                  <from>
                    <xdr:col>1</xdr:col>
                    <xdr:colOff>22860</xdr:colOff>
                    <xdr:row>18</xdr:row>
                    <xdr:rowOff>7620</xdr:rowOff>
                  </from>
                  <to>
                    <xdr:col>2</xdr:col>
                    <xdr:colOff>1196340</xdr:colOff>
                    <xdr:row>19</xdr:row>
                    <xdr:rowOff>38100</xdr:rowOff>
                  </to>
                </anchor>
              </controlPr>
            </control>
          </mc:Choice>
        </mc:AlternateContent>
        <mc:AlternateContent xmlns:mc="http://schemas.openxmlformats.org/markup-compatibility/2006">
          <mc:Choice Requires="x14">
            <control shapeId="17426" r:id="rId21" name="Check Box 18">
              <controlPr defaultSize="0" autoFill="0" autoLine="0" autoPict="0">
                <anchor moveWithCells="1">
                  <from>
                    <xdr:col>5</xdr:col>
                    <xdr:colOff>22860</xdr:colOff>
                    <xdr:row>18</xdr:row>
                    <xdr:rowOff>0</xdr:rowOff>
                  </from>
                  <to>
                    <xdr:col>6</xdr:col>
                    <xdr:colOff>1463040</xdr:colOff>
                    <xdr:row>19</xdr:row>
                    <xdr:rowOff>45720</xdr:rowOff>
                  </to>
                </anchor>
              </controlPr>
            </control>
          </mc:Choice>
        </mc:AlternateContent>
        <mc:AlternateContent xmlns:mc="http://schemas.openxmlformats.org/markup-compatibility/2006">
          <mc:Choice Requires="x14">
            <control shapeId="17427" r:id="rId22" name="Check Box 19">
              <controlPr defaultSize="0" autoFill="0" autoLine="0" autoPict="0">
                <anchor moveWithCells="1">
                  <from>
                    <xdr:col>1</xdr:col>
                    <xdr:colOff>22860</xdr:colOff>
                    <xdr:row>19</xdr:row>
                    <xdr:rowOff>7620</xdr:rowOff>
                  </from>
                  <to>
                    <xdr:col>2</xdr:col>
                    <xdr:colOff>1196340</xdr:colOff>
                    <xdr:row>20</xdr:row>
                    <xdr:rowOff>38100</xdr:rowOff>
                  </to>
                </anchor>
              </controlPr>
            </control>
          </mc:Choice>
        </mc:AlternateContent>
        <mc:AlternateContent xmlns:mc="http://schemas.openxmlformats.org/markup-compatibility/2006">
          <mc:Choice Requires="x14">
            <control shapeId="17428" r:id="rId23" name="Check Box 20">
              <controlPr defaultSize="0" autoFill="0" autoLine="0" autoPict="0">
                <anchor moveWithCells="1">
                  <from>
                    <xdr:col>1</xdr:col>
                    <xdr:colOff>22860</xdr:colOff>
                    <xdr:row>20</xdr:row>
                    <xdr:rowOff>7620</xdr:rowOff>
                  </from>
                  <to>
                    <xdr:col>2</xdr:col>
                    <xdr:colOff>1196340</xdr:colOff>
                    <xdr:row>21</xdr:row>
                    <xdr:rowOff>38100</xdr:rowOff>
                  </to>
                </anchor>
              </controlPr>
            </control>
          </mc:Choice>
        </mc:AlternateContent>
        <mc:AlternateContent xmlns:mc="http://schemas.openxmlformats.org/markup-compatibility/2006">
          <mc:Choice Requires="x14">
            <control shapeId="17429" r:id="rId24" name="Check Box 21">
              <controlPr defaultSize="0" autoFill="0" autoLine="0" autoPict="0">
                <anchor moveWithCells="1">
                  <from>
                    <xdr:col>7</xdr:col>
                    <xdr:colOff>22860</xdr:colOff>
                    <xdr:row>11</xdr:row>
                    <xdr:rowOff>0</xdr:rowOff>
                  </from>
                  <to>
                    <xdr:col>7</xdr:col>
                    <xdr:colOff>944880</xdr:colOff>
                    <xdr:row>12</xdr:row>
                    <xdr:rowOff>22860</xdr:rowOff>
                  </to>
                </anchor>
              </controlPr>
            </control>
          </mc:Choice>
        </mc:AlternateContent>
        <mc:AlternateContent xmlns:mc="http://schemas.openxmlformats.org/markup-compatibility/2006">
          <mc:Choice Requires="x14">
            <control shapeId="17430" r:id="rId25" name="Check Box 22">
              <controlPr defaultSize="0" autoFill="0" autoLine="0" autoPict="0">
                <anchor moveWithCells="1">
                  <from>
                    <xdr:col>7</xdr:col>
                    <xdr:colOff>990600</xdr:colOff>
                    <xdr:row>11</xdr:row>
                    <xdr:rowOff>22860</xdr:rowOff>
                  </from>
                  <to>
                    <xdr:col>8</xdr:col>
                    <xdr:colOff>1082040</xdr:colOff>
                    <xdr:row>12</xdr:row>
                    <xdr:rowOff>15240</xdr:rowOff>
                  </to>
                </anchor>
              </controlPr>
            </control>
          </mc:Choice>
        </mc:AlternateContent>
        <mc:AlternateContent xmlns:mc="http://schemas.openxmlformats.org/markup-compatibility/2006">
          <mc:Choice Requires="x14">
            <control shapeId="17431" r:id="rId26" name="Check Box 23">
              <controlPr defaultSize="0" autoFill="0" autoLine="0" autoPict="0">
                <anchor moveWithCells="1">
                  <from>
                    <xdr:col>1</xdr:col>
                    <xdr:colOff>22860</xdr:colOff>
                    <xdr:row>48</xdr:row>
                    <xdr:rowOff>0</xdr:rowOff>
                  </from>
                  <to>
                    <xdr:col>2</xdr:col>
                    <xdr:colOff>152400</xdr:colOff>
                    <xdr:row>49</xdr:row>
                    <xdr:rowOff>30480</xdr:rowOff>
                  </to>
                </anchor>
              </controlPr>
            </control>
          </mc:Choice>
        </mc:AlternateContent>
        <mc:AlternateContent xmlns:mc="http://schemas.openxmlformats.org/markup-compatibility/2006">
          <mc:Choice Requires="x14">
            <control shapeId="17432" r:id="rId27" name="Check Box 24">
              <controlPr defaultSize="0" autoFill="0" autoLine="0" autoPict="0">
                <anchor moveWithCells="1">
                  <from>
                    <xdr:col>1</xdr:col>
                    <xdr:colOff>990600</xdr:colOff>
                    <xdr:row>48</xdr:row>
                    <xdr:rowOff>22860</xdr:rowOff>
                  </from>
                  <to>
                    <xdr:col>2</xdr:col>
                    <xdr:colOff>1158240</xdr:colOff>
                    <xdr:row>49</xdr:row>
                    <xdr:rowOff>15240</xdr:rowOff>
                  </to>
                </anchor>
              </controlPr>
            </control>
          </mc:Choice>
        </mc:AlternateContent>
        <mc:AlternateContent xmlns:mc="http://schemas.openxmlformats.org/markup-compatibility/2006">
          <mc:Choice Requires="x14">
            <control shapeId="17433" r:id="rId28" name="Check Box 25">
              <controlPr defaultSize="0" autoFill="0" autoLine="0" autoPict="0">
                <anchor moveWithCells="1">
                  <from>
                    <xdr:col>3</xdr:col>
                    <xdr:colOff>22860</xdr:colOff>
                    <xdr:row>48</xdr:row>
                    <xdr:rowOff>0</xdr:rowOff>
                  </from>
                  <to>
                    <xdr:col>3</xdr:col>
                    <xdr:colOff>944880</xdr:colOff>
                    <xdr:row>49</xdr:row>
                    <xdr:rowOff>30480</xdr:rowOff>
                  </to>
                </anchor>
              </controlPr>
            </control>
          </mc:Choice>
        </mc:AlternateContent>
        <mc:AlternateContent xmlns:mc="http://schemas.openxmlformats.org/markup-compatibility/2006">
          <mc:Choice Requires="x14">
            <control shapeId="17434" r:id="rId29" name="Check Box 26">
              <controlPr defaultSize="0" autoFill="0" autoLine="0" autoPict="0">
                <anchor moveWithCells="1">
                  <from>
                    <xdr:col>3</xdr:col>
                    <xdr:colOff>990600</xdr:colOff>
                    <xdr:row>48</xdr:row>
                    <xdr:rowOff>22860</xdr:rowOff>
                  </from>
                  <to>
                    <xdr:col>4</xdr:col>
                    <xdr:colOff>662940</xdr:colOff>
                    <xdr:row>49</xdr:row>
                    <xdr:rowOff>15240</xdr:rowOff>
                  </to>
                </anchor>
              </controlPr>
            </control>
          </mc:Choice>
        </mc:AlternateContent>
        <mc:AlternateContent xmlns:mc="http://schemas.openxmlformats.org/markup-compatibility/2006">
          <mc:Choice Requires="x14">
            <control shapeId="17435" r:id="rId30" name="Check Box 27">
              <controlPr defaultSize="0" autoFill="0" autoLine="0" autoPict="0">
                <anchor moveWithCells="1">
                  <from>
                    <xdr:col>5</xdr:col>
                    <xdr:colOff>22860</xdr:colOff>
                    <xdr:row>48</xdr:row>
                    <xdr:rowOff>0</xdr:rowOff>
                  </from>
                  <to>
                    <xdr:col>5</xdr:col>
                    <xdr:colOff>944880</xdr:colOff>
                    <xdr:row>49</xdr:row>
                    <xdr:rowOff>30480</xdr:rowOff>
                  </to>
                </anchor>
              </controlPr>
            </control>
          </mc:Choice>
        </mc:AlternateContent>
        <mc:AlternateContent xmlns:mc="http://schemas.openxmlformats.org/markup-compatibility/2006">
          <mc:Choice Requires="x14">
            <control shapeId="17436" r:id="rId31" name="Check Box 28">
              <controlPr defaultSize="0" autoFill="0" autoLine="0" autoPict="0">
                <anchor moveWithCells="1">
                  <from>
                    <xdr:col>5</xdr:col>
                    <xdr:colOff>990600</xdr:colOff>
                    <xdr:row>48</xdr:row>
                    <xdr:rowOff>22860</xdr:rowOff>
                  </from>
                  <to>
                    <xdr:col>6</xdr:col>
                    <xdr:colOff>1074420</xdr:colOff>
                    <xdr:row>49</xdr:row>
                    <xdr:rowOff>15240</xdr:rowOff>
                  </to>
                </anchor>
              </controlPr>
            </control>
          </mc:Choice>
        </mc:AlternateContent>
        <mc:AlternateContent xmlns:mc="http://schemas.openxmlformats.org/markup-compatibility/2006">
          <mc:Choice Requires="x14">
            <control shapeId="17437" r:id="rId32" name="Check Box 29">
              <controlPr defaultSize="0" autoFill="0" autoLine="0" autoPict="0">
                <anchor moveWithCells="1">
                  <from>
                    <xdr:col>1</xdr:col>
                    <xdr:colOff>22860</xdr:colOff>
                    <xdr:row>50</xdr:row>
                    <xdr:rowOff>7620</xdr:rowOff>
                  </from>
                  <to>
                    <xdr:col>2</xdr:col>
                    <xdr:colOff>1196340</xdr:colOff>
                    <xdr:row>51</xdr:row>
                    <xdr:rowOff>38100</xdr:rowOff>
                  </to>
                </anchor>
              </controlPr>
            </control>
          </mc:Choice>
        </mc:AlternateContent>
        <mc:AlternateContent xmlns:mc="http://schemas.openxmlformats.org/markup-compatibility/2006">
          <mc:Choice Requires="x14">
            <control shapeId="17438" r:id="rId33" name="Check Box 30">
              <controlPr defaultSize="0" autoFill="0" autoLine="0" autoPict="0">
                <anchor moveWithCells="1">
                  <from>
                    <xdr:col>5</xdr:col>
                    <xdr:colOff>22860</xdr:colOff>
                    <xdr:row>50</xdr:row>
                    <xdr:rowOff>0</xdr:rowOff>
                  </from>
                  <to>
                    <xdr:col>6</xdr:col>
                    <xdr:colOff>1463040</xdr:colOff>
                    <xdr:row>51</xdr:row>
                    <xdr:rowOff>38100</xdr:rowOff>
                  </to>
                </anchor>
              </controlPr>
            </control>
          </mc:Choice>
        </mc:AlternateContent>
        <mc:AlternateContent xmlns:mc="http://schemas.openxmlformats.org/markup-compatibility/2006">
          <mc:Choice Requires="x14">
            <control shapeId="17439" r:id="rId34" name="Check Box 31">
              <controlPr defaultSize="0" autoFill="0" autoLine="0" autoPict="0">
                <anchor moveWithCells="1">
                  <from>
                    <xdr:col>1</xdr:col>
                    <xdr:colOff>38100</xdr:colOff>
                    <xdr:row>50</xdr:row>
                    <xdr:rowOff>182880</xdr:rowOff>
                  </from>
                  <to>
                    <xdr:col>2</xdr:col>
                    <xdr:colOff>1211580</xdr:colOff>
                    <xdr:row>52</xdr:row>
                    <xdr:rowOff>53340</xdr:rowOff>
                  </to>
                </anchor>
              </controlPr>
            </control>
          </mc:Choice>
        </mc:AlternateContent>
        <mc:AlternateContent xmlns:mc="http://schemas.openxmlformats.org/markup-compatibility/2006">
          <mc:Choice Requires="x14">
            <control shapeId="17440" r:id="rId35" name="Check Box 32">
              <controlPr defaultSize="0" autoFill="0" autoLine="0" autoPict="0">
                <anchor moveWithCells="1">
                  <from>
                    <xdr:col>5</xdr:col>
                    <xdr:colOff>22860</xdr:colOff>
                    <xdr:row>51</xdr:row>
                    <xdr:rowOff>0</xdr:rowOff>
                  </from>
                  <to>
                    <xdr:col>6</xdr:col>
                    <xdr:colOff>1463040</xdr:colOff>
                    <xdr:row>52</xdr:row>
                    <xdr:rowOff>38100</xdr:rowOff>
                  </to>
                </anchor>
              </controlPr>
            </control>
          </mc:Choice>
        </mc:AlternateContent>
        <mc:AlternateContent xmlns:mc="http://schemas.openxmlformats.org/markup-compatibility/2006">
          <mc:Choice Requires="x14">
            <control shapeId="17441" r:id="rId36" name="Check Box 33">
              <controlPr defaultSize="0" autoFill="0" autoLine="0" autoPict="0">
                <anchor moveWithCells="1">
                  <from>
                    <xdr:col>1</xdr:col>
                    <xdr:colOff>22860</xdr:colOff>
                    <xdr:row>52</xdr:row>
                    <xdr:rowOff>7620</xdr:rowOff>
                  </from>
                  <to>
                    <xdr:col>2</xdr:col>
                    <xdr:colOff>1196340</xdr:colOff>
                    <xdr:row>53</xdr:row>
                    <xdr:rowOff>38100</xdr:rowOff>
                  </to>
                </anchor>
              </controlPr>
            </control>
          </mc:Choice>
        </mc:AlternateContent>
        <mc:AlternateContent xmlns:mc="http://schemas.openxmlformats.org/markup-compatibility/2006">
          <mc:Choice Requires="x14">
            <control shapeId="17442" r:id="rId37" name="Check Box 34">
              <controlPr defaultSize="0" autoFill="0" autoLine="0" autoPict="0">
                <anchor moveWithCells="1">
                  <from>
                    <xdr:col>5</xdr:col>
                    <xdr:colOff>22860</xdr:colOff>
                    <xdr:row>52</xdr:row>
                    <xdr:rowOff>0</xdr:rowOff>
                  </from>
                  <to>
                    <xdr:col>6</xdr:col>
                    <xdr:colOff>1463040</xdr:colOff>
                    <xdr:row>53</xdr:row>
                    <xdr:rowOff>38100</xdr:rowOff>
                  </to>
                </anchor>
              </controlPr>
            </control>
          </mc:Choice>
        </mc:AlternateContent>
        <mc:AlternateContent xmlns:mc="http://schemas.openxmlformats.org/markup-compatibility/2006">
          <mc:Choice Requires="x14">
            <control shapeId="17443" r:id="rId38" name="Check Box 35">
              <controlPr defaultSize="0" autoFill="0" autoLine="0" autoPict="0">
                <anchor moveWithCells="1">
                  <from>
                    <xdr:col>1</xdr:col>
                    <xdr:colOff>22860</xdr:colOff>
                    <xdr:row>53</xdr:row>
                    <xdr:rowOff>7620</xdr:rowOff>
                  </from>
                  <to>
                    <xdr:col>2</xdr:col>
                    <xdr:colOff>1196340</xdr:colOff>
                    <xdr:row>54</xdr:row>
                    <xdr:rowOff>38100</xdr:rowOff>
                  </to>
                </anchor>
              </controlPr>
            </control>
          </mc:Choice>
        </mc:AlternateContent>
        <mc:AlternateContent xmlns:mc="http://schemas.openxmlformats.org/markup-compatibility/2006">
          <mc:Choice Requires="x14">
            <control shapeId="17444" r:id="rId39" name="Check Box 36">
              <controlPr defaultSize="0" autoFill="0" autoLine="0" autoPict="0">
                <anchor moveWithCells="1">
                  <from>
                    <xdr:col>5</xdr:col>
                    <xdr:colOff>22860</xdr:colOff>
                    <xdr:row>53</xdr:row>
                    <xdr:rowOff>0</xdr:rowOff>
                  </from>
                  <to>
                    <xdr:col>6</xdr:col>
                    <xdr:colOff>1463040</xdr:colOff>
                    <xdr:row>54</xdr:row>
                    <xdr:rowOff>38100</xdr:rowOff>
                  </to>
                </anchor>
              </controlPr>
            </control>
          </mc:Choice>
        </mc:AlternateContent>
        <mc:AlternateContent xmlns:mc="http://schemas.openxmlformats.org/markup-compatibility/2006">
          <mc:Choice Requires="x14">
            <control shapeId="17445" r:id="rId40" name="Check Box 37">
              <controlPr defaultSize="0" autoFill="0" autoLine="0" autoPict="0">
                <anchor moveWithCells="1">
                  <from>
                    <xdr:col>1</xdr:col>
                    <xdr:colOff>22860</xdr:colOff>
                    <xdr:row>54</xdr:row>
                    <xdr:rowOff>7620</xdr:rowOff>
                  </from>
                  <to>
                    <xdr:col>2</xdr:col>
                    <xdr:colOff>1196340</xdr:colOff>
                    <xdr:row>55</xdr:row>
                    <xdr:rowOff>38100</xdr:rowOff>
                  </to>
                </anchor>
              </controlPr>
            </control>
          </mc:Choice>
        </mc:AlternateContent>
        <mc:AlternateContent xmlns:mc="http://schemas.openxmlformats.org/markup-compatibility/2006">
          <mc:Choice Requires="x14">
            <control shapeId="17446" r:id="rId41" name="Check Box 38">
              <controlPr defaultSize="0" autoFill="0" autoLine="0" autoPict="0">
                <anchor moveWithCells="1">
                  <from>
                    <xdr:col>5</xdr:col>
                    <xdr:colOff>22860</xdr:colOff>
                    <xdr:row>54</xdr:row>
                    <xdr:rowOff>0</xdr:rowOff>
                  </from>
                  <to>
                    <xdr:col>6</xdr:col>
                    <xdr:colOff>1463040</xdr:colOff>
                    <xdr:row>55</xdr:row>
                    <xdr:rowOff>38100</xdr:rowOff>
                  </to>
                </anchor>
              </controlPr>
            </control>
          </mc:Choice>
        </mc:AlternateContent>
        <mc:AlternateContent xmlns:mc="http://schemas.openxmlformats.org/markup-compatibility/2006">
          <mc:Choice Requires="x14">
            <control shapeId="17447" r:id="rId42" name="Check Box 39">
              <controlPr defaultSize="0" autoFill="0" autoLine="0" autoPict="0">
                <anchor moveWithCells="1">
                  <from>
                    <xdr:col>1</xdr:col>
                    <xdr:colOff>22860</xdr:colOff>
                    <xdr:row>55</xdr:row>
                    <xdr:rowOff>7620</xdr:rowOff>
                  </from>
                  <to>
                    <xdr:col>2</xdr:col>
                    <xdr:colOff>1196340</xdr:colOff>
                    <xdr:row>56</xdr:row>
                    <xdr:rowOff>38100</xdr:rowOff>
                  </to>
                </anchor>
              </controlPr>
            </control>
          </mc:Choice>
        </mc:AlternateContent>
        <mc:AlternateContent xmlns:mc="http://schemas.openxmlformats.org/markup-compatibility/2006">
          <mc:Choice Requires="x14">
            <control shapeId="17448" r:id="rId43" name="Check Box 40">
              <controlPr defaultSize="0" autoFill="0" autoLine="0" autoPict="0">
                <anchor moveWithCells="1">
                  <from>
                    <xdr:col>5</xdr:col>
                    <xdr:colOff>22860</xdr:colOff>
                    <xdr:row>55</xdr:row>
                    <xdr:rowOff>0</xdr:rowOff>
                  </from>
                  <to>
                    <xdr:col>6</xdr:col>
                    <xdr:colOff>1463040</xdr:colOff>
                    <xdr:row>56</xdr:row>
                    <xdr:rowOff>38100</xdr:rowOff>
                  </to>
                </anchor>
              </controlPr>
            </control>
          </mc:Choice>
        </mc:AlternateContent>
        <mc:AlternateContent xmlns:mc="http://schemas.openxmlformats.org/markup-compatibility/2006">
          <mc:Choice Requires="x14">
            <control shapeId="17449" r:id="rId44" name="Check Box 41">
              <controlPr defaultSize="0" autoFill="0" autoLine="0" autoPict="0">
                <anchor moveWithCells="1">
                  <from>
                    <xdr:col>1</xdr:col>
                    <xdr:colOff>22860</xdr:colOff>
                    <xdr:row>56</xdr:row>
                    <xdr:rowOff>7620</xdr:rowOff>
                  </from>
                  <to>
                    <xdr:col>2</xdr:col>
                    <xdr:colOff>1196340</xdr:colOff>
                    <xdr:row>57</xdr:row>
                    <xdr:rowOff>38100</xdr:rowOff>
                  </to>
                </anchor>
              </controlPr>
            </control>
          </mc:Choice>
        </mc:AlternateContent>
        <mc:AlternateContent xmlns:mc="http://schemas.openxmlformats.org/markup-compatibility/2006">
          <mc:Choice Requires="x14">
            <control shapeId="17450" r:id="rId45" name="Check Box 42">
              <controlPr defaultSize="0" autoFill="0" autoLine="0" autoPict="0">
                <anchor moveWithCells="1">
                  <from>
                    <xdr:col>1</xdr:col>
                    <xdr:colOff>22860</xdr:colOff>
                    <xdr:row>57</xdr:row>
                    <xdr:rowOff>7620</xdr:rowOff>
                  </from>
                  <to>
                    <xdr:col>2</xdr:col>
                    <xdr:colOff>1196340</xdr:colOff>
                    <xdr:row>58</xdr:row>
                    <xdr:rowOff>38100</xdr:rowOff>
                  </to>
                </anchor>
              </controlPr>
            </control>
          </mc:Choice>
        </mc:AlternateContent>
        <mc:AlternateContent xmlns:mc="http://schemas.openxmlformats.org/markup-compatibility/2006">
          <mc:Choice Requires="x14">
            <control shapeId="17451" r:id="rId46" name="Check Box 43">
              <controlPr defaultSize="0" autoFill="0" autoLine="0" autoPict="0">
                <anchor moveWithCells="1">
                  <from>
                    <xdr:col>7</xdr:col>
                    <xdr:colOff>22860</xdr:colOff>
                    <xdr:row>48</xdr:row>
                    <xdr:rowOff>0</xdr:rowOff>
                  </from>
                  <to>
                    <xdr:col>7</xdr:col>
                    <xdr:colOff>944880</xdr:colOff>
                    <xdr:row>49</xdr:row>
                    <xdr:rowOff>30480</xdr:rowOff>
                  </to>
                </anchor>
              </controlPr>
            </control>
          </mc:Choice>
        </mc:AlternateContent>
        <mc:AlternateContent xmlns:mc="http://schemas.openxmlformats.org/markup-compatibility/2006">
          <mc:Choice Requires="x14">
            <control shapeId="17452" r:id="rId47" name="Check Box 44">
              <controlPr defaultSize="0" autoFill="0" autoLine="0" autoPict="0">
                <anchor moveWithCells="1">
                  <from>
                    <xdr:col>7</xdr:col>
                    <xdr:colOff>990600</xdr:colOff>
                    <xdr:row>48</xdr:row>
                    <xdr:rowOff>22860</xdr:rowOff>
                  </from>
                  <to>
                    <xdr:col>8</xdr:col>
                    <xdr:colOff>1082040</xdr:colOff>
                    <xdr:row>49</xdr:row>
                    <xdr:rowOff>30480</xdr:rowOff>
                  </to>
                </anchor>
              </controlPr>
            </control>
          </mc:Choice>
        </mc:AlternateContent>
        <mc:AlternateContent xmlns:mc="http://schemas.openxmlformats.org/markup-compatibility/2006">
          <mc:Choice Requires="x14">
            <control shapeId="17453" r:id="rId48" name="Check Box 45">
              <controlPr defaultSize="0" autoFill="0" autoLine="0" autoPict="0">
                <anchor moveWithCells="1">
                  <from>
                    <xdr:col>1</xdr:col>
                    <xdr:colOff>22860</xdr:colOff>
                    <xdr:row>85</xdr:row>
                    <xdr:rowOff>0</xdr:rowOff>
                  </from>
                  <to>
                    <xdr:col>2</xdr:col>
                    <xdr:colOff>152400</xdr:colOff>
                    <xdr:row>86</xdr:row>
                    <xdr:rowOff>30480</xdr:rowOff>
                  </to>
                </anchor>
              </controlPr>
            </control>
          </mc:Choice>
        </mc:AlternateContent>
        <mc:AlternateContent xmlns:mc="http://schemas.openxmlformats.org/markup-compatibility/2006">
          <mc:Choice Requires="x14">
            <control shapeId="17454" r:id="rId49" name="Check Box 46">
              <controlPr defaultSize="0" autoFill="0" autoLine="0" autoPict="0">
                <anchor moveWithCells="1">
                  <from>
                    <xdr:col>1</xdr:col>
                    <xdr:colOff>990600</xdr:colOff>
                    <xdr:row>85</xdr:row>
                    <xdr:rowOff>22860</xdr:rowOff>
                  </from>
                  <to>
                    <xdr:col>2</xdr:col>
                    <xdr:colOff>1158240</xdr:colOff>
                    <xdr:row>86</xdr:row>
                    <xdr:rowOff>15240</xdr:rowOff>
                  </to>
                </anchor>
              </controlPr>
            </control>
          </mc:Choice>
        </mc:AlternateContent>
        <mc:AlternateContent xmlns:mc="http://schemas.openxmlformats.org/markup-compatibility/2006">
          <mc:Choice Requires="x14">
            <control shapeId="17455" r:id="rId50" name="Check Box 47">
              <controlPr defaultSize="0" autoFill="0" autoLine="0" autoPict="0">
                <anchor moveWithCells="1">
                  <from>
                    <xdr:col>3</xdr:col>
                    <xdr:colOff>22860</xdr:colOff>
                    <xdr:row>85</xdr:row>
                    <xdr:rowOff>0</xdr:rowOff>
                  </from>
                  <to>
                    <xdr:col>3</xdr:col>
                    <xdr:colOff>944880</xdr:colOff>
                    <xdr:row>86</xdr:row>
                    <xdr:rowOff>30480</xdr:rowOff>
                  </to>
                </anchor>
              </controlPr>
            </control>
          </mc:Choice>
        </mc:AlternateContent>
        <mc:AlternateContent xmlns:mc="http://schemas.openxmlformats.org/markup-compatibility/2006">
          <mc:Choice Requires="x14">
            <control shapeId="17456" r:id="rId51" name="Check Box 48">
              <controlPr defaultSize="0" autoFill="0" autoLine="0" autoPict="0">
                <anchor moveWithCells="1">
                  <from>
                    <xdr:col>3</xdr:col>
                    <xdr:colOff>990600</xdr:colOff>
                    <xdr:row>85</xdr:row>
                    <xdr:rowOff>22860</xdr:rowOff>
                  </from>
                  <to>
                    <xdr:col>4</xdr:col>
                    <xdr:colOff>662940</xdr:colOff>
                    <xdr:row>86</xdr:row>
                    <xdr:rowOff>15240</xdr:rowOff>
                  </to>
                </anchor>
              </controlPr>
            </control>
          </mc:Choice>
        </mc:AlternateContent>
        <mc:AlternateContent xmlns:mc="http://schemas.openxmlformats.org/markup-compatibility/2006">
          <mc:Choice Requires="x14">
            <control shapeId="17457" r:id="rId52" name="Check Box 49">
              <controlPr defaultSize="0" autoFill="0" autoLine="0" autoPict="0">
                <anchor moveWithCells="1">
                  <from>
                    <xdr:col>5</xdr:col>
                    <xdr:colOff>22860</xdr:colOff>
                    <xdr:row>85</xdr:row>
                    <xdr:rowOff>0</xdr:rowOff>
                  </from>
                  <to>
                    <xdr:col>5</xdr:col>
                    <xdr:colOff>944880</xdr:colOff>
                    <xdr:row>86</xdr:row>
                    <xdr:rowOff>30480</xdr:rowOff>
                  </to>
                </anchor>
              </controlPr>
            </control>
          </mc:Choice>
        </mc:AlternateContent>
        <mc:AlternateContent xmlns:mc="http://schemas.openxmlformats.org/markup-compatibility/2006">
          <mc:Choice Requires="x14">
            <control shapeId="17458" r:id="rId53" name="Check Box 50">
              <controlPr defaultSize="0" autoFill="0" autoLine="0" autoPict="0">
                <anchor moveWithCells="1">
                  <from>
                    <xdr:col>5</xdr:col>
                    <xdr:colOff>990600</xdr:colOff>
                    <xdr:row>85</xdr:row>
                    <xdr:rowOff>22860</xdr:rowOff>
                  </from>
                  <to>
                    <xdr:col>6</xdr:col>
                    <xdr:colOff>1074420</xdr:colOff>
                    <xdr:row>86</xdr:row>
                    <xdr:rowOff>15240</xdr:rowOff>
                  </to>
                </anchor>
              </controlPr>
            </control>
          </mc:Choice>
        </mc:AlternateContent>
        <mc:AlternateContent xmlns:mc="http://schemas.openxmlformats.org/markup-compatibility/2006">
          <mc:Choice Requires="x14">
            <control shapeId="17459" r:id="rId54" name="Check Box 51">
              <controlPr defaultSize="0" autoFill="0" autoLine="0" autoPict="0">
                <anchor moveWithCells="1">
                  <from>
                    <xdr:col>1</xdr:col>
                    <xdr:colOff>22860</xdr:colOff>
                    <xdr:row>87</xdr:row>
                    <xdr:rowOff>7620</xdr:rowOff>
                  </from>
                  <to>
                    <xdr:col>2</xdr:col>
                    <xdr:colOff>1196340</xdr:colOff>
                    <xdr:row>88</xdr:row>
                    <xdr:rowOff>38100</xdr:rowOff>
                  </to>
                </anchor>
              </controlPr>
            </control>
          </mc:Choice>
        </mc:AlternateContent>
        <mc:AlternateContent xmlns:mc="http://schemas.openxmlformats.org/markup-compatibility/2006">
          <mc:Choice Requires="x14">
            <control shapeId="17460" r:id="rId55" name="Check Box 52">
              <controlPr defaultSize="0" autoFill="0" autoLine="0" autoPict="0">
                <anchor moveWithCells="1">
                  <from>
                    <xdr:col>5</xdr:col>
                    <xdr:colOff>22860</xdr:colOff>
                    <xdr:row>87</xdr:row>
                    <xdr:rowOff>0</xdr:rowOff>
                  </from>
                  <to>
                    <xdr:col>6</xdr:col>
                    <xdr:colOff>1463040</xdr:colOff>
                    <xdr:row>88</xdr:row>
                    <xdr:rowOff>38100</xdr:rowOff>
                  </to>
                </anchor>
              </controlPr>
            </control>
          </mc:Choice>
        </mc:AlternateContent>
        <mc:AlternateContent xmlns:mc="http://schemas.openxmlformats.org/markup-compatibility/2006">
          <mc:Choice Requires="x14">
            <control shapeId="17461" r:id="rId56" name="Check Box 53">
              <controlPr defaultSize="0" autoFill="0" autoLine="0" autoPict="0">
                <anchor moveWithCells="1">
                  <from>
                    <xdr:col>1</xdr:col>
                    <xdr:colOff>38100</xdr:colOff>
                    <xdr:row>87</xdr:row>
                    <xdr:rowOff>182880</xdr:rowOff>
                  </from>
                  <to>
                    <xdr:col>2</xdr:col>
                    <xdr:colOff>1211580</xdr:colOff>
                    <xdr:row>89</xdr:row>
                    <xdr:rowOff>53340</xdr:rowOff>
                  </to>
                </anchor>
              </controlPr>
            </control>
          </mc:Choice>
        </mc:AlternateContent>
        <mc:AlternateContent xmlns:mc="http://schemas.openxmlformats.org/markup-compatibility/2006">
          <mc:Choice Requires="x14">
            <control shapeId="17462" r:id="rId57" name="Check Box 54">
              <controlPr defaultSize="0" autoFill="0" autoLine="0" autoPict="0">
                <anchor moveWithCells="1">
                  <from>
                    <xdr:col>5</xdr:col>
                    <xdr:colOff>22860</xdr:colOff>
                    <xdr:row>88</xdr:row>
                    <xdr:rowOff>0</xdr:rowOff>
                  </from>
                  <to>
                    <xdr:col>6</xdr:col>
                    <xdr:colOff>1463040</xdr:colOff>
                    <xdr:row>89</xdr:row>
                    <xdr:rowOff>38100</xdr:rowOff>
                  </to>
                </anchor>
              </controlPr>
            </control>
          </mc:Choice>
        </mc:AlternateContent>
        <mc:AlternateContent xmlns:mc="http://schemas.openxmlformats.org/markup-compatibility/2006">
          <mc:Choice Requires="x14">
            <control shapeId="17463" r:id="rId58" name="Check Box 55">
              <controlPr defaultSize="0" autoFill="0" autoLine="0" autoPict="0">
                <anchor moveWithCells="1">
                  <from>
                    <xdr:col>1</xdr:col>
                    <xdr:colOff>22860</xdr:colOff>
                    <xdr:row>89</xdr:row>
                    <xdr:rowOff>7620</xdr:rowOff>
                  </from>
                  <to>
                    <xdr:col>2</xdr:col>
                    <xdr:colOff>1196340</xdr:colOff>
                    <xdr:row>90</xdr:row>
                    <xdr:rowOff>38100</xdr:rowOff>
                  </to>
                </anchor>
              </controlPr>
            </control>
          </mc:Choice>
        </mc:AlternateContent>
        <mc:AlternateContent xmlns:mc="http://schemas.openxmlformats.org/markup-compatibility/2006">
          <mc:Choice Requires="x14">
            <control shapeId="17464" r:id="rId59" name="Check Box 56">
              <controlPr defaultSize="0" autoFill="0" autoLine="0" autoPict="0">
                <anchor moveWithCells="1">
                  <from>
                    <xdr:col>5</xdr:col>
                    <xdr:colOff>22860</xdr:colOff>
                    <xdr:row>89</xdr:row>
                    <xdr:rowOff>0</xdr:rowOff>
                  </from>
                  <to>
                    <xdr:col>6</xdr:col>
                    <xdr:colOff>1463040</xdr:colOff>
                    <xdr:row>90</xdr:row>
                    <xdr:rowOff>38100</xdr:rowOff>
                  </to>
                </anchor>
              </controlPr>
            </control>
          </mc:Choice>
        </mc:AlternateContent>
        <mc:AlternateContent xmlns:mc="http://schemas.openxmlformats.org/markup-compatibility/2006">
          <mc:Choice Requires="x14">
            <control shapeId="17465" r:id="rId60" name="Check Box 57">
              <controlPr defaultSize="0" autoFill="0" autoLine="0" autoPict="0">
                <anchor moveWithCells="1">
                  <from>
                    <xdr:col>1</xdr:col>
                    <xdr:colOff>22860</xdr:colOff>
                    <xdr:row>90</xdr:row>
                    <xdr:rowOff>7620</xdr:rowOff>
                  </from>
                  <to>
                    <xdr:col>2</xdr:col>
                    <xdr:colOff>1196340</xdr:colOff>
                    <xdr:row>91</xdr:row>
                    <xdr:rowOff>38100</xdr:rowOff>
                  </to>
                </anchor>
              </controlPr>
            </control>
          </mc:Choice>
        </mc:AlternateContent>
        <mc:AlternateContent xmlns:mc="http://schemas.openxmlformats.org/markup-compatibility/2006">
          <mc:Choice Requires="x14">
            <control shapeId="17466" r:id="rId61" name="Check Box 58">
              <controlPr defaultSize="0" autoFill="0" autoLine="0" autoPict="0">
                <anchor moveWithCells="1">
                  <from>
                    <xdr:col>5</xdr:col>
                    <xdr:colOff>22860</xdr:colOff>
                    <xdr:row>90</xdr:row>
                    <xdr:rowOff>0</xdr:rowOff>
                  </from>
                  <to>
                    <xdr:col>6</xdr:col>
                    <xdr:colOff>1463040</xdr:colOff>
                    <xdr:row>91</xdr:row>
                    <xdr:rowOff>38100</xdr:rowOff>
                  </to>
                </anchor>
              </controlPr>
            </control>
          </mc:Choice>
        </mc:AlternateContent>
        <mc:AlternateContent xmlns:mc="http://schemas.openxmlformats.org/markup-compatibility/2006">
          <mc:Choice Requires="x14">
            <control shapeId="17467" r:id="rId62" name="Check Box 59">
              <controlPr defaultSize="0" autoFill="0" autoLine="0" autoPict="0">
                <anchor moveWithCells="1">
                  <from>
                    <xdr:col>1</xdr:col>
                    <xdr:colOff>22860</xdr:colOff>
                    <xdr:row>91</xdr:row>
                    <xdr:rowOff>7620</xdr:rowOff>
                  </from>
                  <to>
                    <xdr:col>2</xdr:col>
                    <xdr:colOff>1196340</xdr:colOff>
                    <xdr:row>92</xdr:row>
                    <xdr:rowOff>38100</xdr:rowOff>
                  </to>
                </anchor>
              </controlPr>
            </control>
          </mc:Choice>
        </mc:AlternateContent>
        <mc:AlternateContent xmlns:mc="http://schemas.openxmlformats.org/markup-compatibility/2006">
          <mc:Choice Requires="x14">
            <control shapeId="17468" r:id="rId63" name="Check Box 60">
              <controlPr defaultSize="0" autoFill="0" autoLine="0" autoPict="0">
                <anchor moveWithCells="1">
                  <from>
                    <xdr:col>5</xdr:col>
                    <xdr:colOff>22860</xdr:colOff>
                    <xdr:row>91</xdr:row>
                    <xdr:rowOff>0</xdr:rowOff>
                  </from>
                  <to>
                    <xdr:col>6</xdr:col>
                    <xdr:colOff>1463040</xdr:colOff>
                    <xdr:row>92</xdr:row>
                    <xdr:rowOff>38100</xdr:rowOff>
                  </to>
                </anchor>
              </controlPr>
            </control>
          </mc:Choice>
        </mc:AlternateContent>
        <mc:AlternateContent xmlns:mc="http://schemas.openxmlformats.org/markup-compatibility/2006">
          <mc:Choice Requires="x14">
            <control shapeId="17469" r:id="rId64" name="Check Box 61">
              <controlPr defaultSize="0" autoFill="0" autoLine="0" autoPict="0">
                <anchor moveWithCells="1">
                  <from>
                    <xdr:col>1</xdr:col>
                    <xdr:colOff>22860</xdr:colOff>
                    <xdr:row>92</xdr:row>
                    <xdr:rowOff>7620</xdr:rowOff>
                  </from>
                  <to>
                    <xdr:col>2</xdr:col>
                    <xdr:colOff>1196340</xdr:colOff>
                    <xdr:row>93</xdr:row>
                    <xdr:rowOff>38100</xdr:rowOff>
                  </to>
                </anchor>
              </controlPr>
            </control>
          </mc:Choice>
        </mc:AlternateContent>
        <mc:AlternateContent xmlns:mc="http://schemas.openxmlformats.org/markup-compatibility/2006">
          <mc:Choice Requires="x14">
            <control shapeId="17470" r:id="rId65" name="Check Box 62">
              <controlPr defaultSize="0" autoFill="0" autoLine="0" autoPict="0">
                <anchor moveWithCells="1">
                  <from>
                    <xdr:col>5</xdr:col>
                    <xdr:colOff>22860</xdr:colOff>
                    <xdr:row>92</xdr:row>
                    <xdr:rowOff>0</xdr:rowOff>
                  </from>
                  <to>
                    <xdr:col>6</xdr:col>
                    <xdr:colOff>1463040</xdr:colOff>
                    <xdr:row>93</xdr:row>
                    <xdr:rowOff>38100</xdr:rowOff>
                  </to>
                </anchor>
              </controlPr>
            </control>
          </mc:Choice>
        </mc:AlternateContent>
        <mc:AlternateContent xmlns:mc="http://schemas.openxmlformats.org/markup-compatibility/2006">
          <mc:Choice Requires="x14">
            <control shapeId="17471" r:id="rId66" name="Check Box 63">
              <controlPr defaultSize="0" autoFill="0" autoLine="0" autoPict="0">
                <anchor moveWithCells="1">
                  <from>
                    <xdr:col>1</xdr:col>
                    <xdr:colOff>22860</xdr:colOff>
                    <xdr:row>93</xdr:row>
                    <xdr:rowOff>7620</xdr:rowOff>
                  </from>
                  <to>
                    <xdr:col>2</xdr:col>
                    <xdr:colOff>1196340</xdr:colOff>
                    <xdr:row>94</xdr:row>
                    <xdr:rowOff>38100</xdr:rowOff>
                  </to>
                </anchor>
              </controlPr>
            </control>
          </mc:Choice>
        </mc:AlternateContent>
        <mc:AlternateContent xmlns:mc="http://schemas.openxmlformats.org/markup-compatibility/2006">
          <mc:Choice Requires="x14">
            <control shapeId="17472" r:id="rId67" name="Check Box 64">
              <controlPr defaultSize="0" autoFill="0" autoLine="0" autoPict="0">
                <anchor moveWithCells="1">
                  <from>
                    <xdr:col>1</xdr:col>
                    <xdr:colOff>22860</xdr:colOff>
                    <xdr:row>94</xdr:row>
                    <xdr:rowOff>7620</xdr:rowOff>
                  </from>
                  <to>
                    <xdr:col>2</xdr:col>
                    <xdr:colOff>1196340</xdr:colOff>
                    <xdr:row>95</xdr:row>
                    <xdr:rowOff>38100</xdr:rowOff>
                  </to>
                </anchor>
              </controlPr>
            </control>
          </mc:Choice>
        </mc:AlternateContent>
        <mc:AlternateContent xmlns:mc="http://schemas.openxmlformats.org/markup-compatibility/2006">
          <mc:Choice Requires="x14">
            <control shapeId="17473" r:id="rId68" name="Check Box 65">
              <controlPr defaultSize="0" autoFill="0" autoLine="0" autoPict="0">
                <anchor moveWithCells="1">
                  <from>
                    <xdr:col>7</xdr:col>
                    <xdr:colOff>22860</xdr:colOff>
                    <xdr:row>85</xdr:row>
                    <xdr:rowOff>0</xdr:rowOff>
                  </from>
                  <to>
                    <xdr:col>7</xdr:col>
                    <xdr:colOff>944880</xdr:colOff>
                    <xdr:row>86</xdr:row>
                    <xdr:rowOff>30480</xdr:rowOff>
                  </to>
                </anchor>
              </controlPr>
            </control>
          </mc:Choice>
        </mc:AlternateContent>
        <mc:AlternateContent xmlns:mc="http://schemas.openxmlformats.org/markup-compatibility/2006">
          <mc:Choice Requires="x14">
            <control shapeId="17474" r:id="rId69" name="Check Box 66">
              <controlPr defaultSize="0" autoFill="0" autoLine="0" autoPict="0">
                <anchor moveWithCells="1">
                  <from>
                    <xdr:col>7</xdr:col>
                    <xdr:colOff>990600</xdr:colOff>
                    <xdr:row>85</xdr:row>
                    <xdr:rowOff>22860</xdr:rowOff>
                  </from>
                  <to>
                    <xdr:col>8</xdr:col>
                    <xdr:colOff>1082040</xdr:colOff>
                    <xdr:row>86</xdr:row>
                    <xdr:rowOff>30480</xdr:rowOff>
                  </to>
                </anchor>
              </controlPr>
            </control>
          </mc:Choice>
        </mc:AlternateContent>
        <mc:AlternateContent xmlns:mc="http://schemas.openxmlformats.org/markup-compatibility/2006">
          <mc:Choice Requires="x14">
            <control shapeId="17475" r:id="rId70" name="Check Box 67">
              <controlPr defaultSize="0" autoFill="0" autoLine="0" autoPict="0">
                <anchor moveWithCells="1">
                  <from>
                    <xdr:col>1</xdr:col>
                    <xdr:colOff>22860</xdr:colOff>
                    <xdr:row>122</xdr:row>
                    <xdr:rowOff>0</xdr:rowOff>
                  </from>
                  <to>
                    <xdr:col>2</xdr:col>
                    <xdr:colOff>152400</xdr:colOff>
                    <xdr:row>123</xdr:row>
                    <xdr:rowOff>30480</xdr:rowOff>
                  </to>
                </anchor>
              </controlPr>
            </control>
          </mc:Choice>
        </mc:AlternateContent>
        <mc:AlternateContent xmlns:mc="http://schemas.openxmlformats.org/markup-compatibility/2006">
          <mc:Choice Requires="x14">
            <control shapeId="17476" r:id="rId71" name="Check Box 68">
              <controlPr defaultSize="0" autoFill="0" autoLine="0" autoPict="0">
                <anchor moveWithCells="1">
                  <from>
                    <xdr:col>1</xdr:col>
                    <xdr:colOff>990600</xdr:colOff>
                    <xdr:row>122</xdr:row>
                    <xdr:rowOff>22860</xdr:rowOff>
                  </from>
                  <to>
                    <xdr:col>2</xdr:col>
                    <xdr:colOff>1158240</xdr:colOff>
                    <xdr:row>123</xdr:row>
                    <xdr:rowOff>15240</xdr:rowOff>
                  </to>
                </anchor>
              </controlPr>
            </control>
          </mc:Choice>
        </mc:AlternateContent>
        <mc:AlternateContent xmlns:mc="http://schemas.openxmlformats.org/markup-compatibility/2006">
          <mc:Choice Requires="x14">
            <control shapeId="17477" r:id="rId72" name="Check Box 69">
              <controlPr defaultSize="0" autoFill="0" autoLine="0" autoPict="0">
                <anchor moveWithCells="1">
                  <from>
                    <xdr:col>3</xdr:col>
                    <xdr:colOff>22860</xdr:colOff>
                    <xdr:row>122</xdr:row>
                    <xdr:rowOff>0</xdr:rowOff>
                  </from>
                  <to>
                    <xdr:col>3</xdr:col>
                    <xdr:colOff>944880</xdr:colOff>
                    <xdr:row>123</xdr:row>
                    <xdr:rowOff>30480</xdr:rowOff>
                  </to>
                </anchor>
              </controlPr>
            </control>
          </mc:Choice>
        </mc:AlternateContent>
        <mc:AlternateContent xmlns:mc="http://schemas.openxmlformats.org/markup-compatibility/2006">
          <mc:Choice Requires="x14">
            <control shapeId="17478" r:id="rId73" name="Check Box 70">
              <controlPr defaultSize="0" autoFill="0" autoLine="0" autoPict="0">
                <anchor moveWithCells="1">
                  <from>
                    <xdr:col>3</xdr:col>
                    <xdr:colOff>990600</xdr:colOff>
                    <xdr:row>122</xdr:row>
                    <xdr:rowOff>22860</xdr:rowOff>
                  </from>
                  <to>
                    <xdr:col>4</xdr:col>
                    <xdr:colOff>662940</xdr:colOff>
                    <xdr:row>123</xdr:row>
                    <xdr:rowOff>15240</xdr:rowOff>
                  </to>
                </anchor>
              </controlPr>
            </control>
          </mc:Choice>
        </mc:AlternateContent>
        <mc:AlternateContent xmlns:mc="http://schemas.openxmlformats.org/markup-compatibility/2006">
          <mc:Choice Requires="x14">
            <control shapeId="17479" r:id="rId74" name="Check Box 71">
              <controlPr defaultSize="0" autoFill="0" autoLine="0" autoPict="0">
                <anchor moveWithCells="1">
                  <from>
                    <xdr:col>5</xdr:col>
                    <xdr:colOff>22860</xdr:colOff>
                    <xdr:row>122</xdr:row>
                    <xdr:rowOff>0</xdr:rowOff>
                  </from>
                  <to>
                    <xdr:col>5</xdr:col>
                    <xdr:colOff>944880</xdr:colOff>
                    <xdr:row>123</xdr:row>
                    <xdr:rowOff>30480</xdr:rowOff>
                  </to>
                </anchor>
              </controlPr>
            </control>
          </mc:Choice>
        </mc:AlternateContent>
        <mc:AlternateContent xmlns:mc="http://schemas.openxmlformats.org/markup-compatibility/2006">
          <mc:Choice Requires="x14">
            <control shapeId="17480" r:id="rId75" name="Check Box 72">
              <controlPr defaultSize="0" autoFill="0" autoLine="0" autoPict="0">
                <anchor moveWithCells="1">
                  <from>
                    <xdr:col>5</xdr:col>
                    <xdr:colOff>990600</xdr:colOff>
                    <xdr:row>122</xdr:row>
                    <xdr:rowOff>22860</xdr:rowOff>
                  </from>
                  <to>
                    <xdr:col>6</xdr:col>
                    <xdr:colOff>1074420</xdr:colOff>
                    <xdr:row>123</xdr:row>
                    <xdr:rowOff>15240</xdr:rowOff>
                  </to>
                </anchor>
              </controlPr>
            </control>
          </mc:Choice>
        </mc:AlternateContent>
        <mc:AlternateContent xmlns:mc="http://schemas.openxmlformats.org/markup-compatibility/2006">
          <mc:Choice Requires="x14">
            <control shapeId="17481" r:id="rId76" name="Check Box 73">
              <controlPr defaultSize="0" autoFill="0" autoLine="0" autoPict="0">
                <anchor moveWithCells="1">
                  <from>
                    <xdr:col>1</xdr:col>
                    <xdr:colOff>22860</xdr:colOff>
                    <xdr:row>124</xdr:row>
                    <xdr:rowOff>7620</xdr:rowOff>
                  </from>
                  <to>
                    <xdr:col>2</xdr:col>
                    <xdr:colOff>1196340</xdr:colOff>
                    <xdr:row>125</xdr:row>
                    <xdr:rowOff>38100</xdr:rowOff>
                  </to>
                </anchor>
              </controlPr>
            </control>
          </mc:Choice>
        </mc:AlternateContent>
        <mc:AlternateContent xmlns:mc="http://schemas.openxmlformats.org/markup-compatibility/2006">
          <mc:Choice Requires="x14">
            <control shapeId="17482" r:id="rId77" name="Check Box 74">
              <controlPr defaultSize="0" autoFill="0" autoLine="0" autoPict="0">
                <anchor moveWithCells="1">
                  <from>
                    <xdr:col>5</xdr:col>
                    <xdr:colOff>22860</xdr:colOff>
                    <xdr:row>124</xdr:row>
                    <xdr:rowOff>0</xdr:rowOff>
                  </from>
                  <to>
                    <xdr:col>6</xdr:col>
                    <xdr:colOff>1463040</xdr:colOff>
                    <xdr:row>125</xdr:row>
                    <xdr:rowOff>38100</xdr:rowOff>
                  </to>
                </anchor>
              </controlPr>
            </control>
          </mc:Choice>
        </mc:AlternateContent>
        <mc:AlternateContent xmlns:mc="http://schemas.openxmlformats.org/markup-compatibility/2006">
          <mc:Choice Requires="x14">
            <control shapeId="17483" r:id="rId78" name="Check Box 75">
              <controlPr defaultSize="0" autoFill="0" autoLine="0" autoPict="0">
                <anchor moveWithCells="1">
                  <from>
                    <xdr:col>1</xdr:col>
                    <xdr:colOff>38100</xdr:colOff>
                    <xdr:row>124</xdr:row>
                    <xdr:rowOff>182880</xdr:rowOff>
                  </from>
                  <to>
                    <xdr:col>2</xdr:col>
                    <xdr:colOff>1211580</xdr:colOff>
                    <xdr:row>126</xdr:row>
                    <xdr:rowOff>53340</xdr:rowOff>
                  </to>
                </anchor>
              </controlPr>
            </control>
          </mc:Choice>
        </mc:AlternateContent>
        <mc:AlternateContent xmlns:mc="http://schemas.openxmlformats.org/markup-compatibility/2006">
          <mc:Choice Requires="x14">
            <control shapeId="17484" r:id="rId79" name="Check Box 76">
              <controlPr defaultSize="0" autoFill="0" autoLine="0" autoPict="0">
                <anchor moveWithCells="1">
                  <from>
                    <xdr:col>5</xdr:col>
                    <xdr:colOff>22860</xdr:colOff>
                    <xdr:row>125</xdr:row>
                    <xdr:rowOff>0</xdr:rowOff>
                  </from>
                  <to>
                    <xdr:col>6</xdr:col>
                    <xdr:colOff>1463040</xdr:colOff>
                    <xdr:row>126</xdr:row>
                    <xdr:rowOff>38100</xdr:rowOff>
                  </to>
                </anchor>
              </controlPr>
            </control>
          </mc:Choice>
        </mc:AlternateContent>
        <mc:AlternateContent xmlns:mc="http://schemas.openxmlformats.org/markup-compatibility/2006">
          <mc:Choice Requires="x14">
            <control shapeId="17485" r:id="rId80" name="Check Box 77">
              <controlPr defaultSize="0" autoFill="0" autoLine="0" autoPict="0">
                <anchor moveWithCells="1">
                  <from>
                    <xdr:col>1</xdr:col>
                    <xdr:colOff>22860</xdr:colOff>
                    <xdr:row>126</xdr:row>
                    <xdr:rowOff>7620</xdr:rowOff>
                  </from>
                  <to>
                    <xdr:col>2</xdr:col>
                    <xdr:colOff>1196340</xdr:colOff>
                    <xdr:row>127</xdr:row>
                    <xdr:rowOff>38100</xdr:rowOff>
                  </to>
                </anchor>
              </controlPr>
            </control>
          </mc:Choice>
        </mc:AlternateContent>
        <mc:AlternateContent xmlns:mc="http://schemas.openxmlformats.org/markup-compatibility/2006">
          <mc:Choice Requires="x14">
            <control shapeId="17486" r:id="rId81" name="Check Box 78">
              <controlPr defaultSize="0" autoFill="0" autoLine="0" autoPict="0">
                <anchor moveWithCells="1">
                  <from>
                    <xdr:col>5</xdr:col>
                    <xdr:colOff>22860</xdr:colOff>
                    <xdr:row>126</xdr:row>
                    <xdr:rowOff>0</xdr:rowOff>
                  </from>
                  <to>
                    <xdr:col>6</xdr:col>
                    <xdr:colOff>1463040</xdr:colOff>
                    <xdr:row>127</xdr:row>
                    <xdr:rowOff>38100</xdr:rowOff>
                  </to>
                </anchor>
              </controlPr>
            </control>
          </mc:Choice>
        </mc:AlternateContent>
        <mc:AlternateContent xmlns:mc="http://schemas.openxmlformats.org/markup-compatibility/2006">
          <mc:Choice Requires="x14">
            <control shapeId="17487" r:id="rId82" name="Check Box 79">
              <controlPr defaultSize="0" autoFill="0" autoLine="0" autoPict="0">
                <anchor moveWithCells="1">
                  <from>
                    <xdr:col>1</xdr:col>
                    <xdr:colOff>22860</xdr:colOff>
                    <xdr:row>127</xdr:row>
                    <xdr:rowOff>7620</xdr:rowOff>
                  </from>
                  <to>
                    <xdr:col>2</xdr:col>
                    <xdr:colOff>1196340</xdr:colOff>
                    <xdr:row>128</xdr:row>
                    <xdr:rowOff>38100</xdr:rowOff>
                  </to>
                </anchor>
              </controlPr>
            </control>
          </mc:Choice>
        </mc:AlternateContent>
        <mc:AlternateContent xmlns:mc="http://schemas.openxmlformats.org/markup-compatibility/2006">
          <mc:Choice Requires="x14">
            <control shapeId="17488" r:id="rId83" name="Check Box 80">
              <controlPr defaultSize="0" autoFill="0" autoLine="0" autoPict="0">
                <anchor moveWithCells="1">
                  <from>
                    <xdr:col>5</xdr:col>
                    <xdr:colOff>22860</xdr:colOff>
                    <xdr:row>127</xdr:row>
                    <xdr:rowOff>0</xdr:rowOff>
                  </from>
                  <to>
                    <xdr:col>6</xdr:col>
                    <xdr:colOff>1463040</xdr:colOff>
                    <xdr:row>128</xdr:row>
                    <xdr:rowOff>38100</xdr:rowOff>
                  </to>
                </anchor>
              </controlPr>
            </control>
          </mc:Choice>
        </mc:AlternateContent>
        <mc:AlternateContent xmlns:mc="http://schemas.openxmlformats.org/markup-compatibility/2006">
          <mc:Choice Requires="x14">
            <control shapeId="17489" r:id="rId84" name="Check Box 81">
              <controlPr defaultSize="0" autoFill="0" autoLine="0" autoPict="0">
                <anchor moveWithCells="1">
                  <from>
                    <xdr:col>1</xdr:col>
                    <xdr:colOff>22860</xdr:colOff>
                    <xdr:row>128</xdr:row>
                    <xdr:rowOff>7620</xdr:rowOff>
                  </from>
                  <to>
                    <xdr:col>2</xdr:col>
                    <xdr:colOff>1196340</xdr:colOff>
                    <xdr:row>129</xdr:row>
                    <xdr:rowOff>38100</xdr:rowOff>
                  </to>
                </anchor>
              </controlPr>
            </control>
          </mc:Choice>
        </mc:AlternateContent>
        <mc:AlternateContent xmlns:mc="http://schemas.openxmlformats.org/markup-compatibility/2006">
          <mc:Choice Requires="x14">
            <control shapeId="17490" r:id="rId85" name="Check Box 82">
              <controlPr defaultSize="0" autoFill="0" autoLine="0" autoPict="0">
                <anchor moveWithCells="1">
                  <from>
                    <xdr:col>5</xdr:col>
                    <xdr:colOff>22860</xdr:colOff>
                    <xdr:row>128</xdr:row>
                    <xdr:rowOff>0</xdr:rowOff>
                  </from>
                  <to>
                    <xdr:col>6</xdr:col>
                    <xdr:colOff>1463040</xdr:colOff>
                    <xdr:row>129</xdr:row>
                    <xdr:rowOff>38100</xdr:rowOff>
                  </to>
                </anchor>
              </controlPr>
            </control>
          </mc:Choice>
        </mc:AlternateContent>
        <mc:AlternateContent xmlns:mc="http://schemas.openxmlformats.org/markup-compatibility/2006">
          <mc:Choice Requires="x14">
            <control shapeId="17491" r:id="rId86" name="Check Box 83">
              <controlPr defaultSize="0" autoFill="0" autoLine="0" autoPict="0">
                <anchor moveWithCells="1">
                  <from>
                    <xdr:col>1</xdr:col>
                    <xdr:colOff>22860</xdr:colOff>
                    <xdr:row>129</xdr:row>
                    <xdr:rowOff>7620</xdr:rowOff>
                  </from>
                  <to>
                    <xdr:col>2</xdr:col>
                    <xdr:colOff>1196340</xdr:colOff>
                    <xdr:row>130</xdr:row>
                    <xdr:rowOff>38100</xdr:rowOff>
                  </to>
                </anchor>
              </controlPr>
            </control>
          </mc:Choice>
        </mc:AlternateContent>
        <mc:AlternateContent xmlns:mc="http://schemas.openxmlformats.org/markup-compatibility/2006">
          <mc:Choice Requires="x14">
            <control shapeId="17492" r:id="rId87" name="Check Box 84">
              <controlPr defaultSize="0" autoFill="0" autoLine="0" autoPict="0">
                <anchor moveWithCells="1">
                  <from>
                    <xdr:col>5</xdr:col>
                    <xdr:colOff>22860</xdr:colOff>
                    <xdr:row>129</xdr:row>
                    <xdr:rowOff>0</xdr:rowOff>
                  </from>
                  <to>
                    <xdr:col>6</xdr:col>
                    <xdr:colOff>1463040</xdr:colOff>
                    <xdr:row>130</xdr:row>
                    <xdr:rowOff>38100</xdr:rowOff>
                  </to>
                </anchor>
              </controlPr>
            </control>
          </mc:Choice>
        </mc:AlternateContent>
        <mc:AlternateContent xmlns:mc="http://schemas.openxmlformats.org/markup-compatibility/2006">
          <mc:Choice Requires="x14">
            <control shapeId="17493" r:id="rId88" name="Check Box 85">
              <controlPr defaultSize="0" autoFill="0" autoLine="0" autoPict="0">
                <anchor moveWithCells="1">
                  <from>
                    <xdr:col>1</xdr:col>
                    <xdr:colOff>22860</xdr:colOff>
                    <xdr:row>130</xdr:row>
                    <xdr:rowOff>7620</xdr:rowOff>
                  </from>
                  <to>
                    <xdr:col>2</xdr:col>
                    <xdr:colOff>1196340</xdr:colOff>
                    <xdr:row>131</xdr:row>
                    <xdr:rowOff>38100</xdr:rowOff>
                  </to>
                </anchor>
              </controlPr>
            </control>
          </mc:Choice>
        </mc:AlternateContent>
        <mc:AlternateContent xmlns:mc="http://schemas.openxmlformats.org/markup-compatibility/2006">
          <mc:Choice Requires="x14">
            <control shapeId="17494" r:id="rId89" name="Check Box 86">
              <controlPr defaultSize="0" autoFill="0" autoLine="0" autoPict="0">
                <anchor moveWithCells="1">
                  <from>
                    <xdr:col>1</xdr:col>
                    <xdr:colOff>22860</xdr:colOff>
                    <xdr:row>131</xdr:row>
                    <xdr:rowOff>7620</xdr:rowOff>
                  </from>
                  <to>
                    <xdr:col>2</xdr:col>
                    <xdr:colOff>1196340</xdr:colOff>
                    <xdr:row>132</xdr:row>
                    <xdr:rowOff>38100</xdr:rowOff>
                  </to>
                </anchor>
              </controlPr>
            </control>
          </mc:Choice>
        </mc:AlternateContent>
        <mc:AlternateContent xmlns:mc="http://schemas.openxmlformats.org/markup-compatibility/2006">
          <mc:Choice Requires="x14">
            <control shapeId="17495" r:id="rId90" name="Check Box 87">
              <controlPr defaultSize="0" autoFill="0" autoLine="0" autoPict="0">
                <anchor moveWithCells="1">
                  <from>
                    <xdr:col>7</xdr:col>
                    <xdr:colOff>22860</xdr:colOff>
                    <xdr:row>122</xdr:row>
                    <xdr:rowOff>0</xdr:rowOff>
                  </from>
                  <to>
                    <xdr:col>7</xdr:col>
                    <xdr:colOff>944880</xdr:colOff>
                    <xdr:row>123</xdr:row>
                    <xdr:rowOff>30480</xdr:rowOff>
                  </to>
                </anchor>
              </controlPr>
            </control>
          </mc:Choice>
        </mc:AlternateContent>
        <mc:AlternateContent xmlns:mc="http://schemas.openxmlformats.org/markup-compatibility/2006">
          <mc:Choice Requires="x14">
            <control shapeId="17496" r:id="rId91" name="Check Box 88">
              <controlPr defaultSize="0" autoFill="0" autoLine="0" autoPict="0">
                <anchor moveWithCells="1">
                  <from>
                    <xdr:col>7</xdr:col>
                    <xdr:colOff>990600</xdr:colOff>
                    <xdr:row>122</xdr:row>
                    <xdr:rowOff>22860</xdr:rowOff>
                  </from>
                  <to>
                    <xdr:col>8</xdr:col>
                    <xdr:colOff>1082040</xdr:colOff>
                    <xdr:row>123</xdr:row>
                    <xdr:rowOff>30480</xdr:rowOff>
                  </to>
                </anchor>
              </controlPr>
            </control>
          </mc:Choice>
        </mc:AlternateContent>
        <mc:AlternateContent xmlns:mc="http://schemas.openxmlformats.org/markup-compatibility/2006">
          <mc:Choice Requires="x14">
            <control shapeId="17497" r:id="rId92" name="Check Box 89">
              <controlPr defaultSize="0" autoFill="0" autoLine="0" autoPict="0">
                <anchor moveWithCells="1">
                  <from>
                    <xdr:col>1</xdr:col>
                    <xdr:colOff>22860</xdr:colOff>
                    <xdr:row>159</xdr:row>
                    <xdr:rowOff>0</xdr:rowOff>
                  </from>
                  <to>
                    <xdr:col>2</xdr:col>
                    <xdr:colOff>152400</xdr:colOff>
                    <xdr:row>160</xdr:row>
                    <xdr:rowOff>30480</xdr:rowOff>
                  </to>
                </anchor>
              </controlPr>
            </control>
          </mc:Choice>
        </mc:AlternateContent>
        <mc:AlternateContent xmlns:mc="http://schemas.openxmlformats.org/markup-compatibility/2006">
          <mc:Choice Requires="x14">
            <control shapeId="17498" r:id="rId93" name="Check Box 90">
              <controlPr defaultSize="0" autoFill="0" autoLine="0" autoPict="0">
                <anchor moveWithCells="1">
                  <from>
                    <xdr:col>1</xdr:col>
                    <xdr:colOff>990600</xdr:colOff>
                    <xdr:row>159</xdr:row>
                    <xdr:rowOff>22860</xdr:rowOff>
                  </from>
                  <to>
                    <xdr:col>2</xdr:col>
                    <xdr:colOff>1158240</xdr:colOff>
                    <xdr:row>160</xdr:row>
                    <xdr:rowOff>15240</xdr:rowOff>
                  </to>
                </anchor>
              </controlPr>
            </control>
          </mc:Choice>
        </mc:AlternateContent>
        <mc:AlternateContent xmlns:mc="http://schemas.openxmlformats.org/markup-compatibility/2006">
          <mc:Choice Requires="x14">
            <control shapeId="17499" r:id="rId94" name="Check Box 91">
              <controlPr defaultSize="0" autoFill="0" autoLine="0" autoPict="0">
                <anchor moveWithCells="1">
                  <from>
                    <xdr:col>3</xdr:col>
                    <xdr:colOff>22860</xdr:colOff>
                    <xdr:row>159</xdr:row>
                    <xdr:rowOff>0</xdr:rowOff>
                  </from>
                  <to>
                    <xdr:col>3</xdr:col>
                    <xdr:colOff>944880</xdr:colOff>
                    <xdr:row>160</xdr:row>
                    <xdr:rowOff>30480</xdr:rowOff>
                  </to>
                </anchor>
              </controlPr>
            </control>
          </mc:Choice>
        </mc:AlternateContent>
        <mc:AlternateContent xmlns:mc="http://schemas.openxmlformats.org/markup-compatibility/2006">
          <mc:Choice Requires="x14">
            <control shapeId="17500" r:id="rId95" name="Check Box 92">
              <controlPr defaultSize="0" autoFill="0" autoLine="0" autoPict="0">
                <anchor moveWithCells="1">
                  <from>
                    <xdr:col>3</xdr:col>
                    <xdr:colOff>990600</xdr:colOff>
                    <xdr:row>159</xdr:row>
                    <xdr:rowOff>22860</xdr:rowOff>
                  </from>
                  <to>
                    <xdr:col>4</xdr:col>
                    <xdr:colOff>662940</xdr:colOff>
                    <xdr:row>160</xdr:row>
                    <xdr:rowOff>15240</xdr:rowOff>
                  </to>
                </anchor>
              </controlPr>
            </control>
          </mc:Choice>
        </mc:AlternateContent>
        <mc:AlternateContent xmlns:mc="http://schemas.openxmlformats.org/markup-compatibility/2006">
          <mc:Choice Requires="x14">
            <control shapeId="17501" r:id="rId96" name="Check Box 93">
              <controlPr defaultSize="0" autoFill="0" autoLine="0" autoPict="0">
                <anchor moveWithCells="1">
                  <from>
                    <xdr:col>5</xdr:col>
                    <xdr:colOff>22860</xdr:colOff>
                    <xdr:row>159</xdr:row>
                    <xdr:rowOff>0</xdr:rowOff>
                  </from>
                  <to>
                    <xdr:col>5</xdr:col>
                    <xdr:colOff>944880</xdr:colOff>
                    <xdr:row>160</xdr:row>
                    <xdr:rowOff>30480</xdr:rowOff>
                  </to>
                </anchor>
              </controlPr>
            </control>
          </mc:Choice>
        </mc:AlternateContent>
        <mc:AlternateContent xmlns:mc="http://schemas.openxmlformats.org/markup-compatibility/2006">
          <mc:Choice Requires="x14">
            <control shapeId="17502" r:id="rId97" name="Check Box 94">
              <controlPr defaultSize="0" autoFill="0" autoLine="0" autoPict="0">
                <anchor moveWithCells="1">
                  <from>
                    <xdr:col>5</xdr:col>
                    <xdr:colOff>990600</xdr:colOff>
                    <xdr:row>159</xdr:row>
                    <xdr:rowOff>22860</xdr:rowOff>
                  </from>
                  <to>
                    <xdr:col>6</xdr:col>
                    <xdr:colOff>1074420</xdr:colOff>
                    <xdr:row>160</xdr:row>
                    <xdr:rowOff>15240</xdr:rowOff>
                  </to>
                </anchor>
              </controlPr>
            </control>
          </mc:Choice>
        </mc:AlternateContent>
        <mc:AlternateContent xmlns:mc="http://schemas.openxmlformats.org/markup-compatibility/2006">
          <mc:Choice Requires="x14">
            <control shapeId="17503" r:id="rId98" name="Check Box 95">
              <controlPr defaultSize="0" autoFill="0" autoLine="0" autoPict="0">
                <anchor moveWithCells="1">
                  <from>
                    <xdr:col>1</xdr:col>
                    <xdr:colOff>22860</xdr:colOff>
                    <xdr:row>161</xdr:row>
                    <xdr:rowOff>7620</xdr:rowOff>
                  </from>
                  <to>
                    <xdr:col>2</xdr:col>
                    <xdr:colOff>1196340</xdr:colOff>
                    <xdr:row>162</xdr:row>
                    <xdr:rowOff>38100</xdr:rowOff>
                  </to>
                </anchor>
              </controlPr>
            </control>
          </mc:Choice>
        </mc:AlternateContent>
        <mc:AlternateContent xmlns:mc="http://schemas.openxmlformats.org/markup-compatibility/2006">
          <mc:Choice Requires="x14">
            <control shapeId="17504" r:id="rId99" name="Check Box 96">
              <controlPr defaultSize="0" autoFill="0" autoLine="0" autoPict="0">
                <anchor moveWithCells="1">
                  <from>
                    <xdr:col>5</xdr:col>
                    <xdr:colOff>22860</xdr:colOff>
                    <xdr:row>161</xdr:row>
                    <xdr:rowOff>0</xdr:rowOff>
                  </from>
                  <to>
                    <xdr:col>6</xdr:col>
                    <xdr:colOff>1463040</xdr:colOff>
                    <xdr:row>162</xdr:row>
                    <xdr:rowOff>38100</xdr:rowOff>
                  </to>
                </anchor>
              </controlPr>
            </control>
          </mc:Choice>
        </mc:AlternateContent>
        <mc:AlternateContent xmlns:mc="http://schemas.openxmlformats.org/markup-compatibility/2006">
          <mc:Choice Requires="x14">
            <control shapeId="17505" r:id="rId100" name="Check Box 97">
              <controlPr defaultSize="0" autoFill="0" autoLine="0" autoPict="0">
                <anchor moveWithCells="1">
                  <from>
                    <xdr:col>1</xdr:col>
                    <xdr:colOff>38100</xdr:colOff>
                    <xdr:row>161</xdr:row>
                    <xdr:rowOff>182880</xdr:rowOff>
                  </from>
                  <to>
                    <xdr:col>2</xdr:col>
                    <xdr:colOff>1211580</xdr:colOff>
                    <xdr:row>163</xdr:row>
                    <xdr:rowOff>53340</xdr:rowOff>
                  </to>
                </anchor>
              </controlPr>
            </control>
          </mc:Choice>
        </mc:AlternateContent>
        <mc:AlternateContent xmlns:mc="http://schemas.openxmlformats.org/markup-compatibility/2006">
          <mc:Choice Requires="x14">
            <control shapeId="17506" r:id="rId101" name="Check Box 98">
              <controlPr defaultSize="0" autoFill="0" autoLine="0" autoPict="0">
                <anchor moveWithCells="1">
                  <from>
                    <xdr:col>5</xdr:col>
                    <xdr:colOff>22860</xdr:colOff>
                    <xdr:row>162</xdr:row>
                    <xdr:rowOff>0</xdr:rowOff>
                  </from>
                  <to>
                    <xdr:col>6</xdr:col>
                    <xdr:colOff>1463040</xdr:colOff>
                    <xdr:row>163</xdr:row>
                    <xdr:rowOff>38100</xdr:rowOff>
                  </to>
                </anchor>
              </controlPr>
            </control>
          </mc:Choice>
        </mc:AlternateContent>
        <mc:AlternateContent xmlns:mc="http://schemas.openxmlformats.org/markup-compatibility/2006">
          <mc:Choice Requires="x14">
            <control shapeId="17507" r:id="rId102" name="Check Box 99">
              <controlPr defaultSize="0" autoFill="0" autoLine="0" autoPict="0">
                <anchor moveWithCells="1">
                  <from>
                    <xdr:col>1</xdr:col>
                    <xdr:colOff>22860</xdr:colOff>
                    <xdr:row>163</xdr:row>
                    <xdr:rowOff>7620</xdr:rowOff>
                  </from>
                  <to>
                    <xdr:col>2</xdr:col>
                    <xdr:colOff>1196340</xdr:colOff>
                    <xdr:row>164</xdr:row>
                    <xdr:rowOff>38100</xdr:rowOff>
                  </to>
                </anchor>
              </controlPr>
            </control>
          </mc:Choice>
        </mc:AlternateContent>
        <mc:AlternateContent xmlns:mc="http://schemas.openxmlformats.org/markup-compatibility/2006">
          <mc:Choice Requires="x14">
            <control shapeId="17508" r:id="rId103" name="Check Box 100">
              <controlPr defaultSize="0" autoFill="0" autoLine="0" autoPict="0">
                <anchor moveWithCells="1">
                  <from>
                    <xdr:col>5</xdr:col>
                    <xdr:colOff>22860</xdr:colOff>
                    <xdr:row>163</xdr:row>
                    <xdr:rowOff>0</xdr:rowOff>
                  </from>
                  <to>
                    <xdr:col>6</xdr:col>
                    <xdr:colOff>1463040</xdr:colOff>
                    <xdr:row>164</xdr:row>
                    <xdr:rowOff>38100</xdr:rowOff>
                  </to>
                </anchor>
              </controlPr>
            </control>
          </mc:Choice>
        </mc:AlternateContent>
        <mc:AlternateContent xmlns:mc="http://schemas.openxmlformats.org/markup-compatibility/2006">
          <mc:Choice Requires="x14">
            <control shapeId="17509" r:id="rId104" name="Check Box 101">
              <controlPr defaultSize="0" autoFill="0" autoLine="0" autoPict="0">
                <anchor moveWithCells="1">
                  <from>
                    <xdr:col>1</xdr:col>
                    <xdr:colOff>22860</xdr:colOff>
                    <xdr:row>164</xdr:row>
                    <xdr:rowOff>7620</xdr:rowOff>
                  </from>
                  <to>
                    <xdr:col>2</xdr:col>
                    <xdr:colOff>1196340</xdr:colOff>
                    <xdr:row>165</xdr:row>
                    <xdr:rowOff>38100</xdr:rowOff>
                  </to>
                </anchor>
              </controlPr>
            </control>
          </mc:Choice>
        </mc:AlternateContent>
        <mc:AlternateContent xmlns:mc="http://schemas.openxmlformats.org/markup-compatibility/2006">
          <mc:Choice Requires="x14">
            <control shapeId="17510" r:id="rId105" name="Check Box 102">
              <controlPr defaultSize="0" autoFill="0" autoLine="0" autoPict="0">
                <anchor moveWithCells="1">
                  <from>
                    <xdr:col>5</xdr:col>
                    <xdr:colOff>22860</xdr:colOff>
                    <xdr:row>164</xdr:row>
                    <xdr:rowOff>0</xdr:rowOff>
                  </from>
                  <to>
                    <xdr:col>6</xdr:col>
                    <xdr:colOff>1463040</xdr:colOff>
                    <xdr:row>165</xdr:row>
                    <xdr:rowOff>38100</xdr:rowOff>
                  </to>
                </anchor>
              </controlPr>
            </control>
          </mc:Choice>
        </mc:AlternateContent>
        <mc:AlternateContent xmlns:mc="http://schemas.openxmlformats.org/markup-compatibility/2006">
          <mc:Choice Requires="x14">
            <control shapeId="17511" r:id="rId106" name="Check Box 103">
              <controlPr defaultSize="0" autoFill="0" autoLine="0" autoPict="0">
                <anchor moveWithCells="1">
                  <from>
                    <xdr:col>1</xdr:col>
                    <xdr:colOff>22860</xdr:colOff>
                    <xdr:row>165</xdr:row>
                    <xdr:rowOff>7620</xdr:rowOff>
                  </from>
                  <to>
                    <xdr:col>2</xdr:col>
                    <xdr:colOff>1196340</xdr:colOff>
                    <xdr:row>166</xdr:row>
                    <xdr:rowOff>38100</xdr:rowOff>
                  </to>
                </anchor>
              </controlPr>
            </control>
          </mc:Choice>
        </mc:AlternateContent>
        <mc:AlternateContent xmlns:mc="http://schemas.openxmlformats.org/markup-compatibility/2006">
          <mc:Choice Requires="x14">
            <control shapeId="17512" r:id="rId107" name="Check Box 104">
              <controlPr defaultSize="0" autoFill="0" autoLine="0" autoPict="0">
                <anchor moveWithCells="1">
                  <from>
                    <xdr:col>5</xdr:col>
                    <xdr:colOff>22860</xdr:colOff>
                    <xdr:row>165</xdr:row>
                    <xdr:rowOff>0</xdr:rowOff>
                  </from>
                  <to>
                    <xdr:col>6</xdr:col>
                    <xdr:colOff>1463040</xdr:colOff>
                    <xdr:row>166</xdr:row>
                    <xdr:rowOff>38100</xdr:rowOff>
                  </to>
                </anchor>
              </controlPr>
            </control>
          </mc:Choice>
        </mc:AlternateContent>
        <mc:AlternateContent xmlns:mc="http://schemas.openxmlformats.org/markup-compatibility/2006">
          <mc:Choice Requires="x14">
            <control shapeId="17513" r:id="rId108" name="Check Box 105">
              <controlPr defaultSize="0" autoFill="0" autoLine="0" autoPict="0">
                <anchor moveWithCells="1">
                  <from>
                    <xdr:col>1</xdr:col>
                    <xdr:colOff>22860</xdr:colOff>
                    <xdr:row>166</xdr:row>
                    <xdr:rowOff>7620</xdr:rowOff>
                  </from>
                  <to>
                    <xdr:col>2</xdr:col>
                    <xdr:colOff>1196340</xdr:colOff>
                    <xdr:row>167</xdr:row>
                    <xdr:rowOff>38100</xdr:rowOff>
                  </to>
                </anchor>
              </controlPr>
            </control>
          </mc:Choice>
        </mc:AlternateContent>
        <mc:AlternateContent xmlns:mc="http://schemas.openxmlformats.org/markup-compatibility/2006">
          <mc:Choice Requires="x14">
            <control shapeId="17514" r:id="rId109" name="Check Box 106">
              <controlPr defaultSize="0" autoFill="0" autoLine="0" autoPict="0">
                <anchor moveWithCells="1">
                  <from>
                    <xdr:col>5</xdr:col>
                    <xdr:colOff>22860</xdr:colOff>
                    <xdr:row>166</xdr:row>
                    <xdr:rowOff>0</xdr:rowOff>
                  </from>
                  <to>
                    <xdr:col>6</xdr:col>
                    <xdr:colOff>1463040</xdr:colOff>
                    <xdr:row>167</xdr:row>
                    <xdr:rowOff>38100</xdr:rowOff>
                  </to>
                </anchor>
              </controlPr>
            </control>
          </mc:Choice>
        </mc:AlternateContent>
        <mc:AlternateContent xmlns:mc="http://schemas.openxmlformats.org/markup-compatibility/2006">
          <mc:Choice Requires="x14">
            <control shapeId="17515" r:id="rId110" name="Check Box 107">
              <controlPr defaultSize="0" autoFill="0" autoLine="0" autoPict="0">
                <anchor moveWithCells="1">
                  <from>
                    <xdr:col>1</xdr:col>
                    <xdr:colOff>22860</xdr:colOff>
                    <xdr:row>167</xdr:row>
                    <xdr:rowOff>7620</xdr:rowOff>
                  </from>
                  <to>
                    <xdr:col>2</xdr:col>
                    <xdr:colOff>1196340</xdr:colOff>
                    <xdr:row>168</xdr:row>
                    <xdr:rowOff>38100</xdr:rowOff>
                  </to>
                </anchor>
              </controlPr>
            </control>
          </mc:Choice>
        </mc:AlternateContent>
        <mc:AlternateContent xmlns:mc="http://schemas.openxmlformats.org/markup-compatibility/2006">
          <mc:Choice Requires="x14">
            <control shapeId="17516" r:id="rId111" name="Check Box 108">
              <controlPr defaultSize="0" autoFill="0" autoLine="0" autoPict="0">
                <anchor moveWithCells="1">
                  <from>
                    <xdr:col>1</xdr:col>
                    <xdr:colOff>22860</xdr:colOff>
                    <xdr:row>168</xdr:row>
                    <xdr:rowOff>7620</xdr:rowOff>
                  </from>
                  <to>
                    <xdr:col>2</xdr:col>
                    <xdr:colOff>1196340</xdr:colOff>
                    <xdr:row>169</xdr:row>
                    <xdr:rowOff>38100</xdr:rowOff>
                  </to>
                </anchor>
              </controlPr>
            </control>
          </mc:Choice>
        </mc:AlternateContent>
        <mc:AlternateContent xmlns:mc="http://schemas.openxmlformats.org/markup-compatibility/2006">
          <mc:Choice Requires="x14">
            <control shapeId="17517" r:id="rId112" name="Check Box 109">
              <controlPr defaultSize="0" autoFill="0" autoLine="0" autoPict="0">
                <anchor moveWithCells="1">
                  <from>
                    <xdr:col>7</xdr:col>
                    <xdr:colOff>22860</xdr:colOff>
                    <xdr:row>159</xdr:row>
                    <xdr:rowOff>0</xdr:rowOff>
                  </from>
                  <to>
                    <xdr:col>7</xdr:col>
                    <xdr:colOff>944880</xdr:colOff>
                    <xdr:row>160</xdr:row>
                    <xdr:rowOff>30480</xdr:rowOff>
                  </to>
                </anchor>
              </controlPr>
            </control>
          </mc:Choice>
        </mc:AlternateContent>
        <mc:AlternateContent xmlns:mc="http://schemas.openxmlformats.org/markup-compatibility/2006">
          <mc:Choice Requires="x14">
            <control shapeId="17518" r:id="rId113" name="Check Box 110">
              <controlPr defaultSize="0" autoFill="0" autoLine="0" autoPict="0">
                <anchor moveWithCells="1">
                  <from>
                    <xdr:col>7</xdr:col>
                    <xdr:colOff>990600</xdr:colOff>
                    <xdr:row>159</xdr:row>
                    <xdr:rowOff>22860</xdr:rowOff>
                  </from>
                  <to>
                    <xdr:col>8</xdr:col>
                    <xdr:colOff>1082040</xdr:colOff>
                    <xdr:row>160</xdr:row>
                    <xdr:rowOff>30480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1DC78-A73B-4DEE-8BA5-C12B7A4140F3}">
  <dimension ref="A1:T186"/>
  <sheetViews>
    <sheetView showGridLines="0" zoomScale="80" zoomScaleNormal="80" zoomScaleSheetLayoutView="85" workbookViewId="0">
      <selection activeCell="J10" sqref="J10:K10"/>
    </sheetView>
  </sheetViews>
  <sheetFormatPr defaultColWidth="9.33203125" defaultRowHeight="15.6" x14ac:dyDescent="0.3"/>
  <cols>
    <col min="1" max="1" width="18.44140625" style="169" customWidth="1"/>
    <col min="2" max="2" width="24.33203125" style="169" bestFit="1" customWidth="1"/>
    <col min="3" max="3" width="14.33203125" style="169" customWidth="1"/>
    <col min="4" max="5" width="13.33203125" style="169" customWidth="1"/>
    <col min="6" max="6" width="16.88671875" style="169" customWidth="1"/>
    <col min="7" max="7" width="13.33203125" style="169" customWidth="1"/>
    <col min="8" max="8" width="15.33203125" style="169" customWidth="1"/>
    <col min="9" max="12" width="13.33203125" style="169" customWidth="1"/>
    <col min="13" max="13" width="13.6640625" style="169" customWidth="1"/>
    <col min="14" max="14" width="12.6640625" style="169" bestFit="1" customWidth="1"/>
    <col min="15" max="15" width="9.33203125" style="169" bestFit="1" customWidth="1"/>
    <col min="16" max="16" width="14" style="169" customWidth="1"/>
    <col min="17" max="17" width="11.6640625" style="169" customWidth="1"/>
    <col min="18" max="18" width="9.33203125" style="169" bestFit="1" customWidth="1"/>
    <col min="19" max="19" width="11.5546875" style="169" customWidth="1"/>
    <col min="20" max="20" width="0" style="169" hidden="1" customWidth="1"/>
    <col min="21" max="22" width="9.33203125" style="169" bestFit="1" customWidth="1"/>
    <col min="23" max="16384" width="9.33203125" style="169"/>
  </cols>
  <sheetData>
    <row r="1" spans="1:17" x14ac:dyDescent="0.3">
      <c r="A1" s="1049" t="s">
        <v>378</v>
      </c>
      <c r="B1" s="1050"/>
      <c r="C1" s="1050"/>
      <c r="D1" s="1050"/>
      <c r="E1" s="1050"/>
      <c r="F1" s="1047" t="s">
        <v>365</v>
      </c>
      <c r="G1" s="1047"/>
      <c r="H1" s="1047"/>
      <c r="I1" s="1048"/>
    </row>
    <row r="2" spans="1:17" x14ac:dyDescent="0.3">
      <c r="A2" s="1043" t="str">
        <f>Directions!A2</f>
        <v>DT2221     08/2022</v>
      </c>
      <c r="B2" s="1044"/>
      <c r="C2" s="1044"/>
      <c r="D2" s="1044"/>
      <c r="E2" s="1044"/>
      <c r="F2" s="1044"/>
      <c r="G2" s="1044"/>
      <c r="H2" s="1045"/>
      <c r="I2" s="1046"/>
    </row>
    <row r="3" spans="1:17" ht="15.6" customHeight="1" x14ac:dyDescent="0.3">
      <c r="A3" s="1058" t="s">
        <v>14</v>
      </c>
      <c r="B3" s="1059"/>
      <c r="C3" s="1059"/>
      <c r="D3" s="1059"/>
      <c r="E3" s="1059"/>
      <c r="F3" s="1059"/>
      <c r="G3" s="1059"/>
      <c r="H3" s="523" t="s">
        <v>374</v>
      </c>
      <c r="I3" s="503">
        <f>'1 Certification'!H22</f>
        <v>0</v>
      </c>
    </row>
    <row r="4" spans="1:17" x14ac:dyDescent="0.3">
      <c r="A4" s="1053" t="s">
        <v>15</v>
      </c>
      <c r="B4" s="1054"/>
      <c r="C4" s="1055" t="s">
        <v>16</v>
      </c>
      <c r="D4" s="1054"/>
      <c r="E4" s="1055" t="s">
        <v>17</v>
      </c>
      <c r="F4" s="1054"/>
      <c r="G4" s="1054"/>
      <c r="H4" s="1056" t="s">
        <v>18</v>
      </c>
      <c r="I4" s="1057"/>
    </row>
    <row r="5" spans="1:17" x14ac:dyDescent="0.3">
      <c r="A5" s="1060">
        <f>'1 Certification'!B5</f>
        <v>0</v>
      </c>
      <c r="B5" s="1061"/>
      <c r="C5" s="1062">
        <f>'1 Certification'!E5</f>
        <v>0</v>
      </c>
      <c r="D5" s="1061"/>
      <c r="E5" s="1062">
        <f>'1 Certification'!F5</f>
        <v>0</v>
      </c>
      <c r="F5" s="1061"/>
      <c r="G5" s="1061"/>
      <c r="H5" s="1064">
        <f>'1 Certification'!H5</f>
        <v>0</v>
      </c>
      <c r="I5" s="1065"/>
      <c r="O5" s="169" t="s">
        <v>2</v>
      </c>
    </row>
    <row r="6" spans="1:17" x14ac:dyDescent="0.3">
      <c r="A6" s="1053" t="s">
        <v>19</v>
      </c>
      <c r="B6" s="1054"/>
      <c r="C6" s="1054"/>
      <c r="D6" s="1054"/>
      <c r="E6" s="1055" t="s">
        <v>20</v>
      </c>
      <c r="F6" s="1054"/>
      <c r="G6" s="1054"/>
      <c r="H6" s="1054"/>
      <c r="I6" s="1067"/>
    </row>
    <row r="7" spans="1:17" x14ac:dyDescent="0.3">
      <c r="A7" s="1060" t="str">
        <f>IF('1 Certification'!B7=0,"",'1 Certification'!B7)</f>
        <v/>
      </c>
      <c r="B7" s="1061"/>
      <c r="C7" s="1061"/>
      <c r="D7" s="1061"/>
      <c r="E7" s="1062">
        <f>'1 Certification'!F7</f>
        <v>0</v>
      </c>
      <c r="F7" s="1061"/>
      <c r="G7" s="1061"/>
      <c r="H7" s="1061"/>
      <c r="I7" s="1063"/>
    </row>
    <row r="8" spans="1:17" ht="15.45" customHeight="1" x14ac:dyDescent="0.3">
      <c r="A8" s="1053" t="s">
        <v>21</v>
      </c>
      <c r="B8" s="1054"/>
      <c r="C8" s="1054"/>
      <c r="D8" s="1054"/>
      <c r="E8" s="1055" t="s">
        <v>297</v>
      </c>
      <c r="F8" s="1054"/>
      <c r="G8" s="1054"/>
      <c r="H8" s="1054"/>
      <c r="I8" s="1067"/>
      <c r="J8" s="170"/>
      <c r="L8" s="171"/>
    </row>
    <row r="9" spans="1:17" ht="16.2" thickBot="1" x14ac:dyDescent="0.35">
      <c r="A9" s="1068">
        <f>'1 Certification'!B9</f>
        <v>0</v>
      </c>
      <c r="B9" s="1069"/>
      <c r="C9" s="1069"/>
      <c r="D9" s="1069"/>
      <c r="E9" s="1070">
        <f>'1 Certification'!F9</f>
        <v>0</v>
      </c>
      <c r="F9" s="1069"/>
      <c r="G9" s="1069"/>
      <c r="H9" s="1069"/>
      <c r="I9" s="1071"/>
    </row>
    <row r="10" spans="1:17" ht="16.2" customHeight="1" thickBot="1" x14ac:dyDescent="0.35">
      <c r="A10" s="172"/>
      <c r="B10" s="173"/>
      <c r="C10" s="173"/>
      <c r="D10" s="173"/>
      <c r="E10" s="173"/>
      <c r="F10" s="173"/>
      <c r="G10" s="173"/>
      <c r="H10" s="173"/>
      <c r="I10" s="173"/>
      <c r="J10" s="1082" t="str">
        <f>Directions!N8</f>
        <v>Version 2.1</v>
      </c>
      <c r="K10" s="1082"/>
    </row>
    <row r="11" spans="1:17" ht="16.2" thickBot="1" x14ac:dyDescent="0.35">
      <c r="A11" s="1072" t="s">
        <v>220</v>
      </c>
      <c r="B11" s="1073"/>
      <c r="C11" s="1073"/>
      <c r="D11" s="1073"/>
      <c r="E11" s="1073"/>
      <c r="F11" s="1073"/>
      <c r="G11" s="1073"/>
      <c r="H11" s="1073"/>
      <c r="I11" s="1075"/>
      <c r="N11" s="174"/>
      <c r="Q11" s="175"/>
    </row>
    <row r="12" spans="1:17" s="179" customFormat="1" ht="16.2" customHeight="1" thickBot="1" x14ac:dyDescent="0.35">
      <c r="A12" s="176" t="s">
        <v>23</v>
      </c>
      <c r="B12" s="1076" t="s">
        <v>170</v>
      </c>
      <c r="C12" s="1077"/>
      <c r="D12" s="1078" t="s">
        <v>175</v>
      </c>
      <c r="E12" s="1079"/>
      <c r="F12" s="177" t="s">
        <v>174</v>
      </c>
      <c r="G12" s="177" t="s">
        <v>25</v>
      </c>
      <c r="H12" s="178" t="s">
        <v>157</v>
      </c>
      <c r="I12" s="178" t="s">
        <v>26</v>
      </c>
      <c r="K12" s="761"/>
      <c r="L12" s="761"/>
    </row>
    <row r="13" spans="1:17" ht="15.6" customHeight="1" x14ac:dyDescent="0.3">
      <c r="A13" s="180" t="s">
        <v>158</v>
      </c>
      <c r="B13" s="1080"/>
      <c r="C13" s="1081"/>
      <c r="D13" s="1080"/>
      <c r="E13" s="1081"/>
      <c r="F13" s="564"/>
      <c r="G13" s="181"/>
      <c r="H13" s="181"/>
      <c r="I13" s="182">
        <f>$G$13*(1+($H$13/100))</f>
        <v>0</v>
      </c>
      <c r="K13" s="761"/>
      <c r="L13" s="761"/>
    </row>
    <row r="14" spans="1:17" ht="15.6" customHeight="1" x14ac:dyDescent="0.3">
      <c r="A14" s="183" t="s">
        <v>159</v>
      </c>
      <c r="B14" s="1085"/>
      <c r="C14" s="1086"/>
      <c r="D14" s="1085"/>
      <c r="E14" s="1086"/>
      <c r="F14" s="565"/>
      <c r="G14" s="184"/>
      <c r="H14" s="184"/>
      <c r="I14" s="185">
        <f>$G$14*(1+($H$14/100))</f>
        <v>0</v>
      </c>
    </row>
    <row r="15" spans="1:17" ht="15.6" customHeight="1" x14ac:dyDescent="0.3">
      <c r="A15" s="183" t="s">
        <v>176</v>
      </c>
      <c r="B15" s="1085"/>
      <c r="C15" s="1086"/>
      <c r="D15" s="1085"/>
      <c r="E15" s="1086"/>
      <c r="F15" s="565"/>
      <c r="G15" s="184"/>
      <c r="H15" s="184"/>
      <c r="I15" s="186">
        <f>$G$15*(1+($H$15/100))</f>
        <v>0</v>
      </c>
    </row>
    <row r="16" spans="1:17" ht="15.6" customHeight="1" x14ac:dyDescent="0.3">
      <c r="A16" s="180" t="s">
        <v>177</v>
      </c>
      <c r="B16" s="1085"/>
      <c r="C16" s="1086"/>
      <c r="D16" s="1085"/>
      <c r="E16" s="1086"/>
      <c r="F16" s="566"/>
      <c r="G16" s="187"/>
      <c r="H16" s="184"/>
      <c r="I16" s="188">
        <f>$G$16*(1+($H$16/100))</f>
        <v>0</v>
      </c>
    </row>
    <row r="17" spans="1:20" ht="16.2" customHeight="1" thickBot="1" x14ac:dyDescent="0.35">
      <c r="A17" s="189" t="s">
        <v>178</v>
      </c>
      <c r="B17" s="1083"/>
      <c r="C17" s="1084"/>
      <c r="D17" s="1083"/>
      <c r="E17" s="1084"/>
      <c r="F17" s="567"/>
      <c r="G17" s="190"/>
      <c r="H17" s="191"/>
      <c r="I17" s="192">
        <f>$G$17*(1+($H$17/100))</f>
        <v>0</v>
      </c>
    </row>
    <row r="18" spans="1:20" ht="16.2" thickBot="1" x14ac:dyDescent="0.35">
      <c r="A18" s="173"/>
      <c r="B18" s="193"/>
      <c r="C18" s="194"/>
      <c r="D18" s="194"/>
      <c r="E18" s="195"/>
      <c r="F18" s="193"/>
    </row>
    <row r="19" spans="1:20" ht="16.2" thickBot="1" x14ac:dyDescent="0.35">
      <c r="A19" s="1072" t="s">
        <v>169</v>
      </c>
      <c r="B19" s="1073"/>
      <c r="C19" s="196"/>
      <c r="D19" s="197"/>
      <c r="E19" s="197"/>
      <c r="F19" s="197"/>
      <c r="G19" s="197"/>
    </row>
    <row r="20" spans="1:20" ht="16.2" thickBot="1" x14ac:dyDescent="0.35">
      <c r="A20" s="198"/>
      <c r="B20" s="199"/>
      <c r="C20" s="200"/>
      <c r="D20" s="201"/>
      <c r="E20" s="202"/>
      <c r="H20" s="203"/>
    </row>
    <row r="21" spans="1:20" ht="15.6" customHeight="1" thickBot="1" x14ac:dyDescent="0.35">
      <c r="A21" s="1051" t="s">
        <v>27</v>
      </c>
      <c r="B21" s="1074"/>
      <c r="C21" s="1074"/>
      <c r="D21" s="1074"/>
      <c r="E21" s="1074"/>
      <c r="F21" s="1052"/>
      <c r="G21" s="193"/>
      <c r="H21" s="193"/>
      <c r="I21" s="193"/>
      <c r="J21" s="193"/>
      <c r="K21" s="193"/>
      <c r="L21" s="193"/>
      <c r="M21" s="193"/>
    </row>
    <row r="22" spans="1:20" ht="14.7" hidden="1" customHeight="1" thickBot="1" x14ac:dyDescent="0.35">
      <c r="A22" s="204"/>
      <c r="C22" s="205"/>
      <c r="D22" s="201"/>
      <c r="E22" s="202"/>
      <c r="H22" s="199" t="e">
        <f>IF(OR(AND(#REF!=0,#REF!=0),(#REF!&lt;&gt;0)),0,1)</f>
        <v>#REF!</v>
      </c>
      <c r="J22" s="199" t="e">
        <f>#REF!+#REF!+H22</f>
        <v>#REF!</v>
      </c>
      <c r="L22" s="206"/>
      <c r="M22" s="193"/>
      <c r="N22" s="206"/>
      <c r="O22" s="193"/>
      <c r="P22" s="207"/>
    </row>
    <row r="23" spans="1:20" s="212" customFormat="1" ht="16.2" thickBot="1" x14ac:dyDescent="0.35">
      <c r="A23" s="208" t="s">
        <v>216</v>
      </c>
      <c r="B23" s="209" t="str">
        <f>IF(ISTEXT(A13),A13,"")</f>
        <v>Coarse A</v>
      </c>
      <c r="C23" s="209" t="str">
        <f>IF(ISTEXT(A14),A14,"")</f>
        <v>Coarse B</v>
      </c>
      <c r="D23" s="209" t="str">
        <f>IF(ISTEXT(A15),A15,"")</f>
        <v>Coarse C</v>
      </c>
      <c r="E23" s="209" t="str">
        <f>IF(ISTEXT(A16),A16,"")</f>
        <v>Fine A</v>
      </c>
      <c r="F23" s="210" t="str">
        <f>IF(ISTEXT(A17),A17,"")</f>
        <v>Fine B</v>
      </c>
      <c r="G23" s="211"/>
      <c r="I23" s="211"/>
      <c r="K23" s="211"/>
      <c r="L23" s="205"/>
      <c r="M23" s="205"/>
      <c r="N23" s="205"/>
      <c r="O23" s="205"/>
      <c r="P23" s="205"/>
    </row>
    <row r="24" spans="1:20" s="212" customFormat="1" ht="47.4" customHeight="1" thickBot="1" x14ac:dyDescent="0.35">
      <c r="A24" s="213" t="s">
        <v>170</v>
      </c>
      <c r="B24" s="214" t="str">
        <f>IF(B13=0,"",B13)</f>
        <v/>
      </c>
      <c r="C24" s="215" t="str">
        <f>IF(B14=0,"",B14)</f>
        <v/>
      </c>
      <c r="D24" s="216" t="str">
        <f>IF(B15=0,"",B15)</f>
        <v/>
      </c>
      <c r="E24" s="216" t="str">
        <f>IF(B16=0,"",B16)</f>
        <v/>
      </c>
      <c r="F24" s="215" t="str">
        <f>IF(B17=0,"",B17)</f>
        <v/>
      </c>
      <c r="G24" s="217"/>
      <c r="I24" s="218"/>
      <c r="K24" s="218"/>
      <c r="L24" s="219"/>
      <c r="M24" s="219"/>
      <c r="N24" s="219"/>
      <c r="O24" s="219"/>
      <c r="P24" s="219"/>
    </row>
    <row r="25" spans="1:20" s="212" customFormat="1" ht="16.2" thickBot="1" x14ac:dyDescent="0.35">
      <c r="A25" s="751" t="s">
        <v>30</v>
      </c>
      <c r="B25" s="178" t="s">
        <v>31</v>
      </c>
      <c r="C25" s="178" t="s">
        <v>31</v>
      </c>
      <c r="D25" s="178" t="s">
        <v>31</v>
      </c>
      <c r="E25" s="751" t="s">
        <v>31</v>
      </c>
      <c r="F25" s="178" t="s">
        <v>31</v>
      </c>
      <c r="G25" s="220"/>
      <c r="I25" s="220"/>
      <c r="K25" s="220"/>
      <c r="L25" s="219"/>
      <c r="M25" s="219"/>
      <c r="N25" s="219"/>
      <c r="O25" s="221"/>
      <c r="P25" s="221"/>
    </row>
    <row r="26" spans="1:20" s="212" customFormat="1" x14ac:dyDescent="0.3">
      <c r="A26" s="222" t="s">
        <v>33</v>
      </c>
      <c r="B26" s="627"/>
      <c r="C26" s="627"/>
      <c r="D26" s="627"/>
      <c r="E26" s="628"/>
      <c r="F26" s="628"/>
      <c r="G26" s="219"/>
      <c r="I26" s="219"/>
      <c r="K26" s="219"/>
      <c r="L26" s="223"/>
      <c r="M26" s="223"/>
      <c r="N26" s="223"/>
      <c r="O26" s="223"/>
      <c r="P26" s="219"/>
    </row>
    <row r="27" spans="1:20" x14ac:dyDescent="0.3">
      <c r="A27" s="224" t="s">
        <v>34</v>
      </c>
      <c r="B27" s="627"/>
      <c r="C27" s="627"/>
      <c r="D27" s="627"/>
      <c r="E27" s="627"/>
      <c r="F27" s="627"/>
      <c r="G27" s="225"/>
      <c r="I27" s="225"/>
      <c r="K27" s="225"/>
      <c r="L27" s="225"/>
      <c r="M27" s="226"/>
      <c r="N27" s="227"/>
      <c r="O27" s="228"/>
      <c r="P27" s="229"/>
      <c r="T27" s="169">
        <v>100</v>
      </c>
    </row>
    <row r="28" spans="1:20" x14ac:dyDescent="0.3">
      <c r="A28" s="224" t="s">
        <v>35</v>
      </c>
      <c r="B28" s="627"/>
      <c r="C28" s="627"/>
      <c r="D28" s="627"/>
      <c r="E28" s="627"/>
      <c r="F28" s="627"/>
      <c r="G28" s="225"/>
      <c r="I28" s="225"/>
      <c r="K28" s="225"/>
      <c r="L28" s="225"/>
      <c r="M28" s="226"/>
      <c r="N28" s="227"/>
      <c r="O28" s="228"/>
      <c r="P28" s="229"/>
      <c r="T28" s="169">
        <v>100</v>
      </c>
    </row>
    <row r="29" spans="1:20" x14ac:dyDescent="0.3">
      <c r="A29" s="224" t="s">
        <v>36</v>
      </c>
      <c r="B29" s="627"/>
      <c r="C29" s="627"/>
      <c r="D29" s="627"/>
      <c r="E29" s="627"/>
      <c r="F29" s="627"/>
      <c r="G29" s="225"/>
      <c r="I29" s="225"/>
      <c r="K29" s="225"/>
      <c r="L29" s="225"/>
      <c r="M29" s="226"/>
      <c r="N29" s="227"/>
      <c r="O29" s="228"/>
      <c r="P29" s="229"/>
      <c r="T29" s="169">
        <v>100</v>
      </c>
    </row>
    <row r="30" spans="1:20" x14ac:dyDescent="0.3">
      <c r="A30" s="224" t="s">
        <v>37</v>
      </c>
      <c r="B30" s="627"/>
      <c r="C30" s="627"/>
      <c r="D30" s="627"/>
      <c r="E30" s="627"/>
      <c r="F30" s="627"/>
      <c r="G30" s="225"/>
      <c r="I30" s="225"/>
      <c r="K30" s="225"/>
      <c r="L30" s="225"/>
      <c r="M30" s="226"/>
      <c r="N30" s="227"/>
      <c r="O30" s="228"/>
      <c r="P30" s="229"/>
      <c r="T30" s="169">
        <v>100</v>
      </c>
    </row>
    <row r="31" spans="1:20" x14ac:dyDescent="0.3">
      <c r="A31" s="224" t="s">
        <v>38</v>
      </c>
      <c r="B31" s="627"/>
      <c r="C31" s="627"/>
      <c r="D31" s="627"/>
      <c r="E31" s="627"/>
      <c r="F31" s="627"/>
      <c r="G31" s="225"/>
      <c r="I31" s="225"/>
      <c r="K31" s="225"/>
      <c r="L31" s="225"/>
      <c r="M31" s="226"/>
      <c r="N31" s="227"/>
      <c r="O31" s="228"/>
      <c r="P31" s="229"/>
      <c r="T31" s="169">
        <v>100</v>
      </c>
    </row>
    <row r="32" spans="1:20" x14ac:dyDescent="0.3">
      <c r="A32" s="224" t="s">
        <v>39</v>
      </c>
      <c r="B32" s="627"/>
      <c r="C32" s="627"/>
      <c r="D32" s="627"/>
      <c r="E32" s="627"/>
      <c r="F32" s="627"/>
      <c r="G32" s="225"/>
      <c r="I32" s="225"/>
      <c r="K32" s="225"/>
      <c r="L32" s="225"/>
      <c r="M32" s="226"/>
      <c r="N32" s="227"/>
      <c r="O32" s="228"/>
      <c r="P32" s="230"/>
      <c r="T32" s="169">
        <v>95</v>
      </c>
    </row>
    <row r="33" spans="1:20" x14ac:dyDescent="0.3">
      <c r="A33" s="224" t="s">
        <v>40</v>
      </c>
      <c r="B33" s="627"/>
      <c r="C33" s="627"/>
      <c r="D33" s="627"/>
      <c r="E33" s="627"/>
      <c r="F33" s="627"/>
      <c r="G33" s="225"/>
      <c r="I33" s="225"/>
      <c r="K33" s="225"/>
      <c r="L33" s="225"/>
      <c r="M33" s="226"/>
      <c r="N33" s="227"/>
      <c r="O33" s="228"/>
      <c r="P33" s="230"/>
      <c r="T33" s="169">
        <v>50</v>
      </c>
    </row>
    <row r="34" spans="1:20" x14ac:dyDescent="0.3">
      <c r="A34" s="224" t="s">
        <v>41</v>
      </c>
      <c r="B34" s="627"/>
      <c r="C34" s="627"/>
      <c r="D34" s="627"/>
      <c r="E34" s="627"/>
      <c r="F34" s="627"/>
      <c r="G34" s="225"/>
      <c r="I34" s="225"/>
      <c r="K34" s="225"/>
      <c r="L34" s="225"/>
      <c r="M34" s="226"/>
      <c r="N34" s="227"/>
      <c r="O34" s="228"/>
      <c r="P34" s="230"/>
      <c r="T34" s="169">
        <v>30</v>
      </c>
    </row>
    <row r="35" spans="1:20" x14ac:dyDescent="0.3">
      <c r="A35" s="224" t="s">
        <v>42</v>
      </c>
      <c r="B35" s="627"/>
      <c r="C35" s="627"/>
      <c r="D35" s="627"/>
      <c r="E35" s="627"/>
      <c r="F35" s="627"/>
      <c r="G35" s="225"/>
      <c r="I35" s="225"/>
      <c r="K35" s="225"/>
      <c r="L35" s="225"/>
      <c r="M35" s="226"/>
      <c r="N35" s="227"/>
      <c r="O35" s="228"/>
      <c r="P35" s="230"/>
      <c r="T35" s="169">
        <v>5</v>
      </c>
    </row>
    <row r="36" spans="1:20" x14ac:dyDescent="0.3">
      <c r="A36" s="224" t="s">
        <v>43</v>
      </c>
      <c r="B36" s="627"/>
      <c r="C36" s="627"/>
      <c r="D36" s="627"/>
      <c r="E36" s="627"/>
      <c r="F36" s="627"/>
      <c r="G36" s="225"/>
      <c r="I36" s="225"/>
      <c r="K36" s="225"/>
      <c r="L36" s="225"/>
      <c r="M36" s="226"/>
      <c r="N36" s="227"/>
      <c r="O36" s="228"/>
      <c r="P36" s="230"/>
      <c r="T36" s="169">
        <v>0</v>
      </c>
    </row>
    <row r="37" spans="1:20" x14ac:dyDescent="0.3">
      <c r="A37" s="224" t="s">
        <v>44</v>
      </c>
      <c r="B37" s="627"/>
      <c r="C37" s="627"/>
      <c r="D37" s="627"/>
      <c r="E37" s="627"/>
      <c r="F37" s="627"/>
      <c r="G37" s="225"/>
      <c r="I37" s="225"/>
      <c r="K37" s="225"/>
      <c r="L37" s="225"/>
      <c r="M37" s="226"/>
      <c r="N37" s="227"/>
      <c r="O37" s="228"/>
      <c r="P37" s="230"/>
      <c r="T37" s="169">
        <v>0</v>
      </c>
    </row>
    <row r="38" spans="1:20" ht="16.2" thickBot="1" x14ac:dyDescent="0.35">
      <c r="A38" s="231" t="s">
        <v>45</v>
      </c>
      <c r="B38" s="629"/>
      <c r="C38" s="629"/>
      <c r="D38" s="629"/>
      <c r="E38" s="629"/>
      <c r="F38" s="629"/>
      <c r="G38" s="225"/>
      <c r="I38" s="225"/>
      <c r="K38" s="225"/>
      <c r="L38" s="225"/>
      <c r="M38" s="226"/>
      <c r="N38" s="227"/>
      <c r="O38" s="228"/>
      <c r="P38" s="230"/>
      <c r="T38" s="169">
        <v>0</v>
      </c>
    </row>
    <row r="39" spans="1:20" ht="47.4" thickBot="1" x14ac:dyDescent="0.35">
      <c r="A39" s="232" t="s">
        <v>251</v>
      </c>
      <c r="B39" s="545"/>
      <c r="C39" s="546"/>
      <c r="D39" s="545"/>
      <c r="E39" s="233"/>
      <c r="F39" s="233"/>
      <c r="G39" s="225"/>
      <c r="I39" s="225"/>
      <c r="K39" s="225"/>
      <c r="L39" s="225"/>
      <c r="M39" s="226"/>
      <c r="N39" s="227"/>
      <c r="O39" s="228"/>
      <c r="P39" s="230"/>
    </row>
    <row r="40" spans="1:20" ht="16.2" thickBot="1" x14ac:dyDescent="0.35">
      <c r="A40" s="1051" t="s">
        <v>179</v>
      </c>
      <c r="B40" s="1052"/>
      <c r="C40" s="234">
        <f>ROUND('6 Agg Analysis'!AH20,2)</f>
        <v>0</v>
      </c>
      <c r="G40" s="225"/>
      <c r="I40" s="225"/>
      <c r="K40" s="225"/>
      <c r="L40" s="225"/>
      <c r="M40" s="226"/>
      <c r="N40" s="227"/>
      <c r="O40" s="228"/>
      <c r="P40" s="235"/>
      <c r="T40" s="169">
        <v>0</v>
      </c>
    </row>
    <row r="41" spans="1:20" ht="16.2" thickBot="1" x14ac:dyDescent="0.35">
      <c r="A41" s="1051" t="s">
        <v>180</v>
      </c>
      <c r="B41" s="1052"/>
      <c r="C41" s="234">
        <f>ROUND('6 Agg Analysis'!AI20,2)</f>
        <v>0</v>
      </c>
      <c r="G41" s="225"/>
      <c r="I41" s="205"/>
      <c r="K41" s="225"/>
      <c r="L41" s="194"/>
      <c r="N41" s="236"/>
    </row>
    <row r="42" spans="1:20" x14ac:dyDescent="0.3">
      <c r="A42" s="237"/>
      <c r="H42" s="238"/>
      <c r="K42" s="225"/>
      <c r="L42" s="238"/>
      <c r="P42" s="174"/>
      <c r="Q42" s="174"/>
    </row>
    <row r="43" spans="1:20" x14ac:dyDescent="0.3">
      <c r="A43" s="237"/>
      <c r="G43" s="239"/>
      <c r="H43" s="238"/>
      <c r="K43" s="225"/>
      <c r="L43" s="238"/>
      <c r="P43" s="174"/>
      <c r="Q43" s="174"/>
    </row>
    <row r="44" spans="1:20" x14ac:dyDescent="0.3">
      <c r="A44" s="237"/>
      <c r="E44" s="240"/>
      <c r="F44" s="193"/>
      <c r="G44" s="239"/>
      <c r="K44" s="225"/>
      <c r="P44" s="174"/>
      <c r="Q44" s="174"/>
    </row>
    <row r="45" spans="1:20" x14ac:dyDescent="0.3">
      <c r="A45" s="237"/>
      <c r="E45" s="240"/>
      <c r="F45" s="193"/>
      <c r="G45" s="239"/>
      <c r="P45" s="174"/>
      <c r="Q45" s="174"/>
    </row>
    <row r="46" spans="1:20" ht="15.6" customHeight="1" x14ac:dyDescent="0.3"/>
    <row r="47" spans="1:20" s="212" customFormat="1" ht="15.6" customHeight="1" x14ac:dyDescent="0.3">
      <c r="I47" s="241"/>
    </row>
    <row r="48" spans="1:20" s="212" customFormat="1" x14ac:dyDescent="0.3">
      <c r="M48" s="242"/>
      <c r="N48" s="242"/>
    </row>
    <row r="49" spans="1:13" s="212" customFormat="1" x14ac:dyDescent="0.3"/>
    <row r="50" spans="1:13" s="212" customFormat="1" x14ac:dyDescent="0.3">
      <c r="B50" s="219"/>
      <c r="C50" s="219"/>
      <c r="D50" s="219"/>
      <c r="E50" s="219"/>
      <c r="F50" s="243"/>
      <c r="G50" s="219"/>
      <c r="H50" s="219"/>
    </row>
    <row r="51" spans="1:13" s="212" customFormat="1" x14ac:dyDescent="0.3">
      <c r="B51" s="219"/>
      <c r="C51" s="219"/>
      <c r="D51" s="219"/>
      <c r="E51" s="219"/>
      <c r="J51" s="244"/>
      <c r="K51" s="244"/>
      <c r="L51" s="244"/>
      <c r="M51" s="244"/>
    </row>
    <row r="52" spans="1:13" x14ac:dyDescent="0.3">
      <c r="J52" s="245"/>
      <c r="K52" s="245"/>
      <c r="L52" s="1066"/>
    </row>
    <row r="53" spans="1:13" x14ac:dyDescent="0.3">
      <c r="J53" s="246"/>
      <c r="K53" s="247"/>
      <c r="L53" s="1066"/>
    </row>
    <row r="54" spans="1:13" x14ac:dyDescent="0.3">
      <c r="B54" s="193"/>
      <c r="C54" s="193"/>
      <c r="J54" s="230"/>
      <c r="K54" s="248"/>
    </row>
    <row r="55" spans="1:13" x14ac:dyDescent="0.3">
      <c r="A55" s="237"/>
      <c r="J55" s="230"/>
      <c r="K55" s="248"/>
    </row>
    <row r="56" spans="1:13" x14ac:dyDescent="0.3">
      <c r="A56" s="205"/>
      <c r="B56" s="205"/>
      <c r="C56" s="249"/>
      <c r="J56" s="230"/>
      <c r="K56" s="248"/>
    </row>
    <row r="57" spans="1:13" x14ac:dyDescent="0.3">
      <c r="A57" s="249"/>
      <c r="B57" s="205"/>
      <c r="C57" s="249"/>
      <c r="J57" s="230"/>
      <c r="K57" s="248"/>
    </row>
    <row r="58" spans="1:13" x14ac:dyDescent="0.3">
      <c r="J58" s="230"/>
      <c r="K58" s="248"/>
    </row>
    <row r="59" spans="1:13" x14ac:dyDescent="0.3">
      <c r="J59" s="230"/>
      <c r="K59" s="248"/>
    </row>
    <row r="60" spans="1:13" x14ac:dyDescent="0.3">
      <c r="J60" s="230"/>
      <c r="K60" s="248"/>
    </row>
    <row r="61" spans="1:13" x14ac:dyDescent="0.3">
      <c r="J61" s="230"/>
      <c r="K61" s="248"/>
    </row>
    <row r="62" spans="1:13" x14ac:dyDescent="0.3">
      <c r="J62" s="230"/>
      <c r="K62" s="248"/>
    </row>
    <row r="63" spans="1:13" x14ac:dyDescent="0.3">
      <c r="J63" s="230"/>
      <c r="K63" s="248"/>
    </row>
    <row r="64" spans="1:13" x14ac:dyDescent="0.3">
      <c r="J64" s="230"/>
      <c r="K64" s="248"/>
    </row>
    <row r="65" spans="2:11" x14ac:dyDescent="0.3">
      <c r="J65" s="230"/>
      <c r="K65" s="248"/>
    </row>
    <row r="66" spans="2:11" x14ac:dyDescent="0.3">
      <c r="J66" s="230"/>
      <c r="K66" s="248"/>
    </row>
    <row r="78" spans="2:11" x14ac:dyDescent="0.3">
      <c r="B78" s="237"/>
      <c r="C78" s="250"/>
    </row>
    <row r="79" spans="2:11" x14ac:dyDescent="0.3">
      <c r="C79" s="250"/>
    </row>
    <row r="108" spans="2:5" x14ac:dyDescent="0.3">
      <c r="B108" s="212"/>
      <c r="C108" s="212"/>
      <c r="D108" s="212"/>
      <c r="E108" s="212"/>
    </row>
    <row r="117" spans="4:6" x14ac:dyDescent="0.3">
      <c r="E117" s="251"/>
      <c r="F117" s="252"/>
    </row>
    <row r="118" spans="4:6" x14ac:dyDescent="0.3">
      <c r="E118" s="251"/>
      <c r="F118" s="252"/>
    </row>
    <row r="119" spans="4:6" x14ac:dyDescent="0.3">
      <c r="E119" s="251"/>
      <c r="F119" s="252"/>
    </row>
    <row r="120" spans="4:6" x14ac:dyDescent="0.3">
      <c r="E120" s="251"/>
      <c r="F120" s="252"/>
    </row>
    <row r="121" spans="4:6" x14ac:dyDescent="0.3">
      <c r="D121" s="253"/>
      <c r="E121" s="251"/>
      <c r="F121" s="252"/>
    </row>
    <row r="122" spans="4:6" x14ac:dyDescent="0.3">
      <c r="D122" s="253"/>
      <c r="E122" s="251"/>
      <c r="F122" s="252"/>
    </row>
    <row r="123" spans="4:6" x14ac:dyDescent="0.3">
      <c r="D123" s="253"/>
      <c r="E123" s="251"/>
      <c r="F123" s="252"/>
    </row>
    <row r="124" spans="4:6" x14ac:dyDescent="0.3">
      <c r="D124" s="253"/>
    </row>
    <row r="125" spans="4:6" x14ac:dyDescent="0.3">
      <c r="D125" s="253"/>
    </row>
    <row r="126" spans="4:6" x14ac:dyDescent="0.3">
      <c r="D126" s="253"/>
    </row>
    <row r="127" spans="4:6" x14ac:dyDescent="0.3">
      <c r="D127" s="253"/>
    </row>
    <row r="132" spans="2:4" x14ac:dyDescent="0.3">
      <c r="B132" s="254"/>
      <c r="C132" s="255"/>
      <c r="D132" s="255"/>
    </row>
    <row r="133" spans="2:4" x14ac:dyDescent="0.3">
      <c r="B133" s="254"/>
      <c r="C133" s="255"/>
      <c r="D133" s="255"/>
    </row>
    <row r="134" spans="2:4" x14ac:dyDescent="0.3">
      <c r="B134" s="254"/>
      <c r="C134" s="255"/>
      <c r="D134" s="255"/>
    </row>
    <row r="135" spans="2:4" x14ac:dyDescent="0.3">
      <c r="B135" s="254"/>
      <c r="C135" s="255"/>
      <c r="D135" s="255"/>
    </row>
    <row r="136" spans="2:4" x14ac:dyDescent="0.3">
      <c r="B136" s="254"/>
      <c r="C136" s="255"/>
      <c r="D136" s="255"/>
    </row>
    <row r="137" spans="2:4" x14ac:dyDescent="0.3">
      <c r="B137" s="254"/>
      <c r="C137" s="255"/>
      <c r="D137" s="255"/>
    </row>
    <row r="138" spans="2:4" x14ac:dyDescent="0.3">
      <c r="B138" s="254"/>
      <c r="C138" s="256"/>
      <c r="D138" s="250"/>
    </row>
    <row r="139" spans="2:4" x14ac:dyDescent="0.3">
      <c r="C139" s="256"/>
      <c r="D139" s="250"/>
    </row>
    <row r="140" spans="2:4" x14ac:dyDescent="0.3">
      <c r="C140" s="256"/>
      <c r="D140" s="250"/>
    </row>
    <row r="141" spans="2:4" x14ac:dyDescent="0.3">
      <c r="C141" s="256"/>
      <c r="D141" s="250"/>
    </row>
    <row r="142" spans="2:4" x14ac:dyDescent="0.3">
      <c r="C142" s="256"/>
      <c r="D142" s="250"/>
    </row>
    <row r="143" spans="2:4" x14ac:dyDescent="0.3">
      <c r="C143" s="256"/>
      <c r="D143" s="250"/>
    </row>
    <row r="144" spans="2:4" x14ac:dyDescent="0.3">
      <c r="C144" s="256"/>
      <c r="D144" s="250"/>
    </row>
    <row r="145" spans="3:16" x14ac:dyDescent="0.3">
      <c r="C145" s="256"/>
      <c r="D145" s="250"/>
      <c r="E145" s="257"/>
    </row>
    <row r="146" spans="3:16" x14ac:dyDescent="0.3">
      <c r="C146" s="256"/>
      <c r="D146" s="250"/>
      <c r="E146" s="257"/>
      <c r="O146" s="257"/>
      <c r="P146" s="237"/>
    </row>
    <row r="147" spans="3:16" x14ac:dyDescent="0.3">
      <c r="C147" s="256"/>
      <c r="D147" s="250"/>
      <c r="E147" s="257"/>
      <c r="O147" s="257"/>
      <c r="P147" s="237"/>
    </row>
    <row r="148" spans="3:16" x14ac:dyDescent="0.3">
      <c r="E148" s="257"/>
      <c r="O148" s="257"/>
      <c r="P148" s="237"/>
    </row>
    <row r="149" spans="3:16" x14ac:dyDescent="0.3">
      <c r="E149" s="257"/>
      <c r="O149" s="257"/>
      <c r="P149" s="237"/>
    </row>
    <row r="150" spans="3:16" x14ac:dyDescent="0.3">
      <c r="D150" s="237"/>
      <c r="E150" s="257"/>
      <c r="O150" s="257"/>
      <c r="P150" s="237"/>
    </row>
    <row r="151" spans="3:16" x14ac:dyDescent="0.3">
      <c r="D151" s="237"/>
      <c r="E151" s="257"/>
      <c r="O151" s="257"/>
      <c r="P151" s="237"/>
    </row>
    <row r="152" spans="3:16" x14ac:dyDescent="0.3">
      <c r="D152" s="237"/>
      <c r="O152" s="257"/>
      <c r="P152" s="237"/>
    </row>
    <row r="153" spans="3:16" x14ac:dyDescent="0.3">
      <c r="D153" s="237"/>
    </row>
    <row r="154" spans="3:16" x14ac:dyDescent="0.3">
      <c r="D154" s="237"/>
    </row>
    <row r="155" spans="3:16" x14ac:dyDescent="0.3">
      <c r="D155" s="237"/>
      <c r="N155" s="258"/>
      <c r="O155" s="258"/>
    </row>
    <row r="156" spans="3:16" x14ac:dyDescent="0.3">
      <c r="D156" s="237"/>
      <c r="N156" s="248"/>
      <c r="O156" s="248"/>
    </row>
    <row r="157" spans="3:16" x14ac:dyDescent="0.3">
      <c r="D157" s="237"/>
    </row>
    <row r="158" spans="3:16" x14ac:dyDescent="0.3">
      <c r="D158" s="237"/>
    </row>
    <row r="159" spans="3:16" x14ac:dyDescent="0.3">
      <c r="D159" s="237"/>
    </row>
    <row r="160" spans="3:16" x14ac:dyDescent="0.3">
      <c r="D160" s="237"/>
    </row>
    <row r="161" spans="4:5" x14ac:dyDescent="0.3">
      <c r="D161" s="237"/>
    </row>
    <row r="162" spans="4:5" x14ac:dyDescent="0.3">
      <c r="D162" s="237"/>
    </row>
    <row r="176" spans="4:5" x14ac:dyDescent="0.3">
      <c r="E176" s="250"/>
    </row>
    <row r="177" spans="5:5" x14ac:dyDescent="0.3">
      <c r="E177" s="250"/>
    </row>
    <row r="178" spans="5:5" x14ac:dyDescent="0.3">
      <c r="E178" s="250"/>
    </row>
    <row r="179" spans="5:5" x14ac:dyDescent="0.3">
      <c r="E179" s="250"/>
    </row>
    <row r="180" spans="5:5" x14ac:dyDescent="0.3">
      <c r="E180" s="250"/>
    </row>
    <row r="181" spans="5:5" x14ac:dyDescent="0.3">
      <c r="E181" s="250"/>
    </row>
    <row r="182" spans="5:5" x14ac:dyDescent="0.3">
      <c r="E182" s="250"/>
    </row>
    <row r="183" spans="5:5" x14ac:dyDescent="0.3">
      <c r="E183" s="250"/>
    </row>
    <row r="184" spans="5:5" x14ac:dyDescent="0.3">
      <c r="E184" s="250"/>
    </row>
    <row r="185" spans="5:5" x14ac:dyDescent="0.3">
      <c r="E185" s="250"/>
    </row>
    <row r="186" spans="5:5" x14ac:dyDescent="0.3">
      <c r="E186" s="250"/>
    </row>
  </sheetData>
  <sheetProtection selectLockedCells="1"/>
  <mergeCells count="39">
    <mergeCell ref="E6:I6"/>
    <mergeCell ref="B17:C17"/>
    <mergeCell ref="D13:E13"/>
    <mergeCell ref="D14:E14"/>
    <mergeCell ref="D15:E15"/>
    <mergeCell ref="D16:E16"/>
    <mergeCell ref="D17:E17"/>
    <mergeCell ref="B14:C14"/>
    <mergeCell ref="B15:C15"/>
    <mergeCell ref="B16:C16"/>
    <mergeCell ref="L52:L53"/>
    <mergeCell ref="A8:D8"/>
    <mergeCell ref="E8:I8"/>
    <mergeCell ref="A9:D9"/>
    <mergeCell ref="E9:I9"/>
    <mergeCell ref="A19:B19"/>
    <mergeCell ref="A40:B40"/>
    <mergeCell ref="A21:F21"/>
    <mergeCell ref="A11:I11"/>
    <mergeCell ref="B12:C12"/>
    <mergeCell ref="D12:E12"/>
    <mergeCell ref="B13:C13"/>
    <mergeCell ref="J10:K10"/>
    <mergeCell ref="A2:I2"/>
    <mergeCell ref="F1:I1"/>
    <mergeCell ref="A1:E1"/>
    <mergeCell ref="A41:B41"/>
    <mergeCell ref="A4:B4"/>
    <mergeCell ref="C4:D4"/>
    <mergeCell ref="E4:G4"/>
    <mergeCell ref="H4:I4"/>
    <mergeCell ref="A3:G3"/>
    <mergeCell ref="A7:D7"/>
    <mergeCell ref="E7:I7"/>
    <mergeCell ref="A5:B5"/>
    <mergeCell ref="C5:D5"/>
    <mergeCell ref="E5:G5"/>
    <mergeCell ref="H5:I5"/>
    <mergeCell ref="A6:D6"/>
  </mergeCells>
  <phoneticPr fontId="17" type="noConversion"/>
  <printOptions verticalCentered="1"/>
  <pageMargins left="0.25" right="0.25" top="0.75" bottom="0.75" header="0.3" footer="0.3"/>
  <pageSetup scale="71" orientation="landscape" r:id="rId1"/>
  <headerFooter>
    <oddFooter>&amp;L&amp;9&amp;A&amp;C&amp;9&amp;P of &amp;N&amp;R&amp;9&amp;F</oddFooter>
  </headerFooter>
  <colBreaks count="1" manualBreakCount="1">
    <brk id="12" max="1048575" man="1"/>
  </colBreaks>
  <ignoredErrors>
    <ignoredError sqref="A4:I9 A3" unlockedFormula="1"/>
  </ignoredErrors>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992ECE-98C3-47ED-90F6-77A86BFE0E2F}">
  <dimension ref="A1:T172"/>
  <sheetViews>
    <sheetView showGridLines="0" zoomScale="80" zoomScaleNormal="80" zoomScaleSheetLayoutView="85" workbookViewId="0">
      <selection activeCell="H35" sqref="H35"/>
    </sheetView>
  </sheetViews>
  <sheetFormatPr defaultColWidth="9.33203125" defaultRowHeight="15.6" x14ac:dyDescent="0.3"/>
  <cols>
    <col min="1" max="1" width="38.33203125" style="259" bestFit="1" customWidth="1"/>
    <col min="2" max="2" width="26.44140625" style="259" customWidth="1"/>
    <col min="3" max="3" width="20.33203125" style="259" customWidth="1"/>
    <col min="4" max="4" width="18.5546875" style="259" customWidth="1"/>
    <col min="5" max="5" width="16.6640625" style="259" customWidth="1"/>
    <col min="6" max="6" width="17.33203125" style="259" customWidth="1"/>
    <col min="7" max="7" width="8" style="259" customWidth="1"/>
    <col min="8" max="9" width="13.6640625" style="259" customWidth="1"/>
    <col min="10" max="10" width="12.6640625" style="259" customWidth="1"/>
    <col min="11" max="11" width="9.33203125" style="259" bestFit="1" customWidth="1"/>
    <col min="12" max="12" width="14" style="259" customWidth="1"/>
    <col min="13" max="13" width="11.6640625" style="259" customWidth="1"/>
    <col min="14" max="14" width="9.33203125" style="259" bestFit="1" customWidth="1"/>
    <col min="15" max="15" width="11.5546875" style="259" customWidth="1"/>
    <col min="16" max="16" width="9.33203125" style="259"/>
    <col min="17" max="18" width="9.33203125" style="259" bestFit="1" customWidth="1"/>
    <col min="19" max="16384" width="9.33203125" style="259"/>
  </cols>
  <sheetData>
    <row r="1" spans="1:16" x14ac:dyDescent="0.3">
      <c r="A1" s="1049" t="s">
        <v>378</v>
      </c>
      <c r="B1" s="1050"/>
      <c r="C1" s="1050"/>
      <c r="D1" s="1050"/>
      <c r="E1" s="1050"/>
      <c r="F1" s="1047" t="s">
        <v>365</v>
      </c>
      <c r="G1" s="1047"/>
      <c r="H1" s="1047"/>
      <c r="I1" s="1048"/>
    </row>
    <row r="2" spans="1:16" x14ac:dyDescent="0.3">
      <c r="A2" s="1123" t="str">
        <f>Directions!A2</f>
        <v>DT2221     08/2022</v>
      </c>
      <c r="B2" s="1124"/>
      <c r="C2" s="1124"/>
      <c r="D2" s="1124"/>
      <c r="E2" s="1124"/>
      <c r="F2" s="1124"/>
      <c r="G2" s="1124"/>
      <c r="H2" s="1124"/>
      <c r="I2" s="1125"/>
    </row>
    <row r="3" spans="1:16" ht="15.6" customHeight="1" x14ac:dyDescent="0.3">
      <c r="A3" s="1058" t="s">
        <v>14</v>
      </c>
      <c r="B3" s="1059"/>
      <c r="C3" s="1059"/>
      <c r="D3" s="1059"/>
      <c r="E3" s="1059"/>
      <c r="F3" s="1059"/>
      <c r="G3" s="1059"/>
      <c r="H3" s="523" t="s">
        <v>374</v>
      </c>
      <c r="I3" s="503">
        <f>'1 Certification'!H22</f>
        <v>0</v>
      </c>
    </row>
    <row r="4" spans="1:16" x14ac:dyDescent="0.3">
      <c r="A4" s="1053" t="s">
        <v>15</v>
      </c>
      <c r="B4" s="1054"/>
      <c r="C4" s="1055" t="s">
        <v>16</v>
      </c>
      <c r="D4" s="1054"/>
      <c r="E4" s="1055" t="s">
        <v>17</v>
      </c>
      <c r="F4" s="1054"/>
      <c r="G4" s="1054"/>
      <c r="H4" s="1056" t="s">
        <v>18</v>
      </c>
      <c r="I4" s="1057"/>
    </row>
    <row r="5" spans="1:16" x14ac:dyDescent="0.3">
      <c r="A5" s="1060">
        <f>'1 Certification'!B5</f>
        <v>0</v>
      </c>
      <c r="B5" s="1061"/>
      <c r="C5" s="1062">
        <f>'1 Certification'!E5</f>
        <v>0</v>
      </c>
      <c r="D5" s="1061"/>
      <c r="E5" s="1062">
        <f>'1 Certification'!F5</f>
        <v>0</v>
      </c>
      <c r="F5" s="1061"/>
      <c r="G5" s="1061"/>
      <c r="H5" s="1064">
        <f>'1 Certification'!H5</f>
        <v>0</v>
      </c>
      <c r="I5" s="1065"/>
      <c r="O5" s="259" t="s">
        <v>2</v>
      </c>
    </row>
    <row r="6" spans="1:16" x14ac:dyDescent="0.3">
      <c r="A6" s="1053" t="s">
        <v>19</v>
      </c>
      <c r="B6" s="1054"/>
      <c r="C6" s="1054"/>
      <c r="D6" s="1054"/>
      <c r="E6" s="1055" t="s">
        <v>20</v>
      </c>
      <c r="F6" s="1054"/>
      <c r="G6" s="1054"/>
      <c r="H6" s="1054"/>
      <c r="I6" s="1067"/>
    </row>
    <row r="7" spans="1:16" x14ac:dyDescent="0.3">
      <c r="A7" s="1060" t="str">
        <f>IF('1 Certification'!B7=0,"",'1 Certification'!B7)</f>
        <v/>
      </c>
      <c r="B7" s="1061"/>
      <c r="C7" s="1061"/>
      <c r="D7" s="1061"/>
      <c r="E7" s="1062">
        <f>'1 Certification'!F7</f>
        <v>0</v>
      </c>
      <c r="F7" s="1061"/>
      <c r="G7" s="1061"/>
      <c r="H7" s="1061"/>
      <c r="I7" s="1063"/>
    </row>
    <row r="8" spans="1:16" x14ac:dyDescent="0.3">
      <c r="A8" s="1053" t="s">
        <v>21</v>
      </c>
      <c r="B8" s="1054"/>
      <c r="C8" s="1054"/>
      <c r="D8" s="1054"/>
      <c r="E8" s="1055" t="s">
        <v>297</v>
      </c>
      <c r="F8" s="1054"/>
      <c r="G8" s="1054"/>
      <c r="H8" s="1054"/>
      <c r="I8" s="1067"/>
    </row>
    <row r="9" spans="1:16" ht="16.2" thickBot="1" x14ac:dyDescent="0.35">
      <c r="A9" s="1068">
        <f>'1 Certification'!B9</f>
        <v>0</v>
      </c>
      <c r="B9" s="1069"/>
      <c r="C9" s="1069"/>
      <c r="D9" s="1069"/>
      <c r="E9" s="1070">
        <f>'1 Certification'!F9</f>
        <v>0</v>
      </c>
      <c r="F9" s="1069"/>
      <c r="G9" s="1069"/>
      <c r="H9" s="1069"/>
      <c r="I9" s="1071"/>
    </row>
    <row r="10" spans="1:16" ht="15.6" customHeight="1" thickBot="1" x14ac:dyDescent="0.35">
      <c r="A10" s="260"/>
      <c r="B10" s="260"/>
      <c r="C10" s="260"/>
      <c r="D10" s="260"/>
      <c r="E10" s="260"/>
      <c r="F10" s="260"/>
      <c r="G10" s="260"/>
      <c r="H10" s="260"/>
      <c r="I10" s="260"/>
    </row>
    <row r="11" spans="1:16" ht="18.600000000000001" thickBot="1" x14ac:dyDescent="0.35">
      <c r="A11" s="1091" t="s">
        <v>221</v>
      </c>
      <c r="B11" s="1092"/>
      <c r="C11" s="1092"/>
      <c r="D11" s="1092"/>
      <c r="E11" s="1093"/>
      <c r="F11" s="261"/>
      <c r="G11" s="262"/>
      <c r="H11" s="262"/>
      <c r="I11" s="262"/>
      <c r="J11" s="262"/>
      <c r="K11" s="262"/>
      <c r="L11" s="262"/>
      <c r="M11" s="262"/>
      <c r="N11" s="262"/>
      <c r="O11" s="262"/>
      <c r="P11" s="263"/>
    </row>
    <row r="12" spans="1:16" s="245" customFormat="1" ht="40.5" customHeight="1" thickBot="1" x14ac:dyDescent="0.35">
      <c r="A12" s="264"/>
      <c r="B12" s="265" t="s">
        <v>63</v>
      </c>
      <c r="C12" s="265" t="s">
        <v>64</v>
      </c>
      <c r="D12" s="266" t="s">
        <v>65</v>
      </c>
      <c r="E12" s="267" t="s">
        <v>66</v>
      </c>
      <c r="F12" s="1132"/>
      <c r="G12" s="1133"/>
      <c r="H12" s="268"/>
      <c r="I12" s="268"/>
      <c r="J12" s="268"/>
      <c r="K12" s="268"/>
      <c r="L12" s="268"/>
      <c r="M12" s="268"/>
      <c r="N12" s="268"/>
      <c r="O12" s="269"/>
    </row>
    <row r="13" spans="1:16" ht="15.6" customHeight="1" x14ac:dyDescent="0.3">
      <c r="A13" s="270" t="s">
        <v>67</v>
      </c>
      <c r="B13" s="769"/>
      <c r="C13" s="770"/>
      <c r="D13" s="769"/>
      <c r="E13" s="651"/>
      <c r="I13" s="262"/>
      <c r="J13" s="262"/>
      <c r="K13" s="262"/>
      <c r="L13" s="262"/>
      <c r="M13" s="262"/>
      <c r="O13" s="263"/>
      <c r="P13" s="263"/>
    </row>
    <row r="14" spans="1:16" ht="15.6" customHeight="1" x14ac:dyDescent="0.3">
      <c r="A14" s="271" t="s">
        <v>68</v>
      </c>
      <c r="B14" s="771"/>
      <c r="C14" s="772"/>
      <c r="D14" s="771"/>
      <c r="E14" s="272"/>
      <c r="F14" s="1129"/>
      <c r="G14" s="1130"/>
      <c r="J14" s="262"/>
      <c r="K14" s="262"/>
      <c r="L14" s="262"/>
      <c r="M14" s="262"/>
      <c r="O14" s="263"/>
      <c r="P14" s="263"/>
    </row>
    <row r="15" spans="1:16" ht="15.6" customHeight="1" x14ac:dyDescent="0.3">
      <c r="A15" s="271" t="s">
        <v>69</v>
      </c>
      <c r="B15" s="771"/>
      <c r="C15" s="772"/>
      <c r="D15" s="771"/>
      <c r="E15" s="272"/>
      <c r="F15" s="273"/>
      <c r="J15" s="262"/>
      <c r="K15" s="262"/>
      <c r="L15" s="262"/>
      <c r="M15" s="262"/>
      <c r="O15" s="263"/>
      <c r="P15" s="263"/>
    </row>
    <row r="16" spans="1:16" ht="15.6" customHeight="1" x14ac:dyDescent="0.3">
      <c r="A16" s="271" t="s">
        <v>206</v>
      </c>
      <c r="B16" s="771"/>
      <c r="C16" s="772"/>
      <c r="D16" s="771"/>
      <c r="E16" s="272"/>
      <c r="F16" s="273"/>
      <c r="J16" s="262"/>
      <c r="K16" s="262"/>
      <c r="L16" s="262"/>
      <c r="M16" s="262"/>
      <c r="O16" s="263"/>
      <c r="P16" s="263"/>
    </row>
    <row r="17" spans="1:20" ht="15.6" customHeight="1" thickBot="1" x14ac:dyDescent="0.35">
      <c r="A17" s="274" t="s">
        <v>208</v>
      </c>
      <c r="B17" s="773"/>
      <c r="C17" s="774"/>
      <c r="D17" s="773"/>
      <c r="E17" s="275"/>
      <c r="G17" s="1128" t="str">
        <f>Directions!N8</f>
        <v>Version 2.1</v>
      </c>
      <c r="H17" s="1128"/>
      <c r="J17" s="262"/>
      <c r="K17" s="262"/>
      <c r="L17" s="262"/>
      <c r="M17" s="262"/>
      <c r="O17" s="263"/>
      <c r="P17" s="263"/>
    </row>
    <row r="18" spans="1:20" ht="15.6" customHeight="1" thickBot="1" x14ac:dyDescent="0.35">
      <c r="A18" s="260"/>
      <c r="B18" s="276"/>
      <c r="C18" s="276"/>
      <c r="D18" s="262"/>
      <c r="E18" s="262"/>
      <c r="F18" s="277"/>
      <c r="K18" s="280"/>
      <c r="L18" s="262"/>
      <c r="M18" s="262"/>
      <c r="N18" s="262"/>
      <c r="O18" s="262"/>
      <c r="P18" s="262"/>
      <c r="R18" s="263"/>
      <c r="S18" s="263"/>
    </row>
    <row r="19" spans="1:20" ht="15.6" customHeight="1" thickBot="1" x14ac:dyDescent="0.35">
      <c r="A19" s="1091" t="s">
        <v>235</v>
      </c>
      <c r="B19" s="1092"/>
      <c r="C19" s="1092"/>
      <c r="D19" s="1093"/>
      <c r="E19" s="244"/>
      <c r="F19" s="244"/>
      <c r="H19" s="278"/>
      <c r="I19" s="279"/>
      <c r="L19" s="280"/>
      <c r="M19" s="262"/>
      <c r="N19" s="262"/>
      <c r="O19" s="262"/>
      <c r="P19" s="262"/>
      <c r="Q19" s="262"/>
      <c r="S19" s="263"/>
      <c r="T19" s="263"/>
    </row>
    <row r="20" spans="1:20" ht="15.6" customHeight="1" x14ac:dyDescent="0.3">
      <c r="A20" s="1134" t="s">
        <v>236</v>
      </c>
      <c r="B20" s="1136" t="s">
        <v>238</v>
      </c>
      <c r="C20" s="1089" t="s">
        <v>271</v>
      </c>
      <c r="D20" s="1126" t="s">
        <v>237</v>
      </c>
      <c r="E20" s="1131" t="str">
        <f>IF(AND(E17&gt;0,OR(A22=0,B22=0,C22=0,D22=0)),"PLEASE FILL TABLE","")</f>
        <v/>
      </c>
      <c r="F20" s="245"/>
      <c r="G20" s="760"/>
      <c r="H20" s="760"/>
      <c r="L20" s="280"/>
      <c r="M20" s="262"/>
      <c r="N20" s="262"/>
      <c r="O20" s="262"/>
      <c r="P20" s="262"/>
      <c r="Q20" s="262"/>
      <c r="S20" s="263"/>
      <c r="T20" s="263"/>
    </row>
    <row r="21" spans="1:20" ht="15.6" customHeight="1" x14ac:dyDescent="0.3">
      <c r="A21" s="1135"/>
      <c r="B21" s="1137"/>
      <c r="C21" s="1090"/>
      <c r="D21" s="1127"/>
      <c r="E21" s="1131"/>
      <c r="F21" s="281"/>
      <c r="G21" s="760"/>
      <c r="H21" s="760"/>
      <c r="L21" s="280"/>
      <c r="M21" s="262"/>
      <c r="N21" s="262"/>
      <c r="O21" s="262"/>
      <c r="P21" s="262"/>
      <c r="Q21" s="262"/>
      <c r="S21" s="263"/>
      <c r="T21" s="263"/>
    </row>
    <row r="22" spans="1:20" ht="16.2" thickBot="1" x14ac:dyDescent="0.35">
      <c r="A22" s="547"/>
      <c r="B22" s="548"/>
      <c r="C22" s="549"/>
      <c r="D22" s="548"/>
      <c r="H22" s="282"/>
      <c r="I22" s="279"/>
      <c r="J22" s="283"/>
      <c r="L22" s="280"/>
      <c r="M22" s="262"/>
      <c r="N22" s="262"/>
      <c r="O22" s="262"/>
      <c r="P22" s="262"/>
      <c r="Q22" s="262"/>
      <c r="S22" s="263"/>
      <c r="T22" s="263"/>
    </row>
    <row r="23" spans="1:20" ht="16.2" thickBot="1" x14ac:dyDescent="0.35">
      <c r="H23" s="282"/>
      <c r="I23" s="279"/>
      <c r="J23" s="283"/>
      <c r="L23" s="280"/>
      <c r="M23" s="262"/>
      <c r="N23" s="262"/>
      <c r="O23" s="262"/>
      <c r="P23" s="262"/>
      <c r="Q23" s="262"/>
      <c r="S23" s="263"/>
      <c r="T23" s="263"/>
    </row>
    <row r="24" spans="1:20" ht="16.2" thickBot="1" x14ac:dyDescent="0.35">
      <c r="A24" s="1091" t="s">
        <v>262</v>
      </c>
      <c r="B24" s="1092"/>
      <c r="C24" s="1093"/>
      <c r="D24" s="245"/>
      <c r="E24" s="276"/>
      <c r="H24" s="282"/>
      <c r="I24" s="279"/>
      <c r="J24" s="283"/>
      <c r="L24" s="280"/>
      <c r="M24" s="262"/>
      <c r="N24" s="262"/>
      <c r="O24" s="262"/>
      <c r="P24" s="262"/>
      <c r="Q24" s="262"/>
      <c r="S24" s="263"/>
      <c r="T24" s="263"/>
    </row>
    <row r="25" spans="1:20" ht="16.2" thickBot="1" x14ac:dyDescent="0.35">
      <c r="A25" s="1087" t="s">
        <v>447</v>
      </c>
      <c r="B25" s="1088"/>
      <c r="C25" s="284"/>
      <c r="D25" s="245"/>
      <c r="E25" s="276"/>
      <c r="H25" s="282"/>
      <c r="I25" s="279"/>
      <c r="J25" s="283"/>
      <c r="L25" s="280"/>
      <c r="M25" s="262"/>
      <c r="N25" s="262"/>
      <c r="O25" s="262"/>
      <c r="P25" s="262"/>
      <c r="Q25" s="262"/>
      <c r="S25" s="263"/>
      <c r="T25" s="263"/>
    </row>
    <row r="26" spans="1:20" ht="16.2" thickBot="1" x14ac:dyDescent="0.35">
      <c r="A26" s="1094" t="s">
        <v>551</v>
      </c>
      <c r="B26" s="1095"/>
      <c r="C26" s="284"/>
      <c r="D26" s="245"/>
      <c r="E26" s="276"/>
      <c r="H26" s="282"/>
      <c r="I26" s="279"/>
      <c r="J26" s="283"/>
      <c r="L26" s="280"/>
      <c r="M26" s="262"/>
      <c r="N26" s="262"/>
      <c r="O26" s="262"/>
      <c r="P26" s="262"/>
      <c r="Q26" s="262"/>
      <c r="S26" s="263"/>
      <c r="T26" s="263"/>
    </row>
    <row r="27" spans="1:20" ht="16.2" thickBot="1" x14ac:dyDescent="0.35">
      <c r="A27" s="1094" t="s">
        <v>261</v>
      </c>
      <c r="B27" s="1095"/>
      <c r="C27" s="286">
        <f>IF(C25="E",'6 Agg Analysis'!AF48,IF(C25="C",'6 Agg Analysis'!AF47,IF(C25="B",'6 Agg Analysis'!AF46,'6 Agg Analysis'!AF45)))</f>
        <v>500</v>
      </c>
      <c r="D27" s="276"/>
      <c r="E27" s="276"/>
      <c r="H27" s="282"/>
      <c r="I27" s="279"/>
      <c r="J27" s="283"/>
      <c r="L27" s="280"/>
      <c r="M27" s="262"/>
      <c r="N27" s="262"/>
      <c r="O27" s="262"/>
      <c r="P27" s="262"/>
      <c r="Q27" s="262"/>
      <c r="S27" s="263"/>
      <c r="T27" s="263"/>
    </row>
    <row r="28" spans="1:20" ht="16.2" thickBot="1" x14ac:dyDescent="0.35">
      <c r="A28" s="1094" t="s">
        <v>453</v>
      </c>
      <c r="B28" s="1095"/>
      <c r="C28" s="285" t="str">
        <f>IF(C25=0,"GRADE?",IF(C26=0,"CLASS?",IF(AND(C26="Class I: Pavement",OR(C25="A",C25="C")),'6 Agg Analysis'!AB45,IF(AND(C26="Class I: Barrier",OR(C25="A",C25="C")),'6 Agg Analysis'!AB46,IF(AND(C26="Class I: Structures",C25="A"),'6 Agg Analysis'!AB47,IF(C25="E",'6 Agg Analysis'!AB50,IF(C25="B",'6 Agg Analysis'!AB51,'6 Agg Analysis'!$AB$47)))))))</f>
        <v>GRADE?</v>
      </c>
      <c r="D28" s="276"/>
      <c r="H28" s="282"/>
      <c r="I28" s="279"/>
      <c r="J28" s="283"/>
      <c r="L28" s="280"/>
      <c r="M28" s="262"/>
      <c r="N28" s="262"/>
      <c r="O28" s="262"/>
      <c r="P28" s="262"/>
      <c r="Q28" s="262"/>
      <c r="S28" s="263"/>
      <c r="T28" s="263"/>
    </row>
    <row r="29" spans="1:20" ht="16.2" thickBot="1" x14ac:dyDescent="0.35">
      <c r="A29" s="287"/>
      <c r="B29" s="288"/>
      <c r="C29" s="268"/>
      <c r="D29" s="276"/>
      <c r="E29" s="276"/>
      <c r="H29" s="282"/>
      <c r="I29" s="279"/>
      <c r="J29" s="283"/>
      <c r="L29" s="280"/>
      <c r="M29" s="262"/>
      <c r="N29" s="262"/>
      <c r="O29" s="262"/>
      <c r="P29" s="262"/>
      <c r="Q29" s="262"/>
      <c r="S29" s="263"/>
      <c r="T29" s="263"/>
    </row>
    <row r="30" spans="1:20" ht="16.2" thickBot="1" x14ac:dyDescent="0.35">
      <c r="A30" s="1091" t="s">
        <v>207</v>
      </c>
      <c r="B30" s="1092"/>
      <c r="C30" s="1093"/>
      <c r="D30" s="276"/>
      <c r="E30" s="276"/>
      <c r="H30" s="282"/>
      <c r="I30" s="279"/>
      <c r="J30" s="283"/>
      <c r="L30" s="280"/>
      <c r="M30" s="262"/>
      <c r="N30" s="262"/>
      <c r="O30" s="262"/>
      <c r="P30" s="262"/>
      <c r="Q30" s="262"/>
      <c r="S30" s="263"/>
      <c r="T30" s="263"/>
    </row>
    <row r="31" spans="1:20" x14ac:dyDescent="0.3">
      <c r="A31" s="289" t="s">
        <v>254</v>
      </c>
      <c r="B31" s="550"/>
      <c r="C31" s="290" t="str">
        <f>IF(B31&lt;C27,"FAIL","PASS")</f>
        <v>FAIL</v>
      </c>
      <c r="D31" s="276"/>
      <c r="E31" s="276"/>
      <c r="H31" s="282"/>
      <c r="I31" s="279"/>
      <c r="J31" s="283"/>
      <c r="L31" s="280"/>
      <c r="M31" s="262"/>
      <c r="N31" s="262"/>
      <c r="O31" s="262"/>
      <c r="P31" s="262"/>
      <c r="Q31" s="262"/>
      <c r="S31" s="263"/>
      <c r="T31" s="263"/>
    </row>
    <row r="32" spans="1:20" x14ac:dyDescent="0.3">
      <c r="A32" s="291" t="s">
        <v>330</v>
      </c>
      <c r="B32" s="292"/>
      <c r="C32" s="293" t="str">
        <f>IF(B32="","w/cm ?",IF(B32&lt;=C28,"PASS","FAIL"))</f>
        <v>w/cm ?</v>
      </c>
      <c r="D32" s="276"/>
      <c r="E32" s="276"/>
      <c r="H32" s="282"/>
      <c r="I32" s="279"/>
      <c r="J32" s="283"/>
      <c r="L32" s="280"/>
      <c r="M32" s="262"/>
      <c r="N32" s="262"/>
      <c r="O32" s="262"/>
      <c r="P32" s="262"/>
      <c r="Q32" s="262"/>
      <c r="S32" s="263"/>
      <c r="T32" s="263"/>
    </row>
    <row r="33" spans="1:20" x14ac:dyDescent="0.3">
      <c r="A33" s="291" t="s">
        <v>361</v>
      </c>
      <c r="B33" s="294"/>
      <c r="C33" s="295" t="str">
        <f>IF(OR(B33=0,B33=""),"AIR ?","PASS")</f>
        <v>AIR ?</v>
      </c>
      <c r="D33" s="276"/>
      <c r="E33" s="276"/>
      <c r="H33" s="282"/>
      <c r="I33" s="279"/>
      <c r="J33" s="283"/>
      <c r="L33" s="280"/>
      <c r="M33" s="262"/>
      <c r="N33" s="262"/>
      <c r="O33" s="262"/>
      <c r="P33" s="262"/>
      <c r="Q33" s="262"/>
      <c r="S33" s="263"/>
      <c r="T33" s="263"/>
    </row>
    <row r="34" spans="1:20" x14ac:dyDescent="0.3">
      <c r="A34" s="291" t="s">
        <v>166</v>
      </c>
      <c r="B34" s="292"/>
      <c r="C34" s="296" t="s">
        <v>167</v>
      </c>
      <c r="D34" s="276"/>
      <c r="E34" s="262"/>
      <c r="H34" s="282"/>
      <c r="I34" s="279"/>
      <c r="J34" s="283"/>
      <c r="L34" s="280"/>
      <c r="M34" s="262"/>
      <c r="N34" s="262"/>
      <c r="O34" s="262"/>
      <c r="P34" s="262"/>
      <c r="Q34" s="262"/>
      <c r="S34" s="263"/>
      <c r="T34" s="263"/>
    </row>
    <row r="35" spans="1:20" x14ac:dyDescent="0.3">
      <c r="A35" s="291" t="s">
        <v>168</v>
      </c>
      <c r="B35" s="297"/>
      <c r="C35" s="298" t="s">
        <v>172</v>
      </c>
      <c r="D35" s="276"/>
      <c r="E35" s="262"/>
      <c r="H35" s="282"/>
      <c r="I35" s="279"/>
      <c r="J35" s="283"/>
      <c r="L35" s="280"/>
      <c r="M35" s="262"/>
      <c r="N35" s="262"/>
      <c r="O35" s="262"/>
      <c r="P35" s="262"/>
      <c r="Q35" s="262"/>
      <c r="S35" s="263"/>
      <c r="T35" s="263"/>
    </row>
    <row r="36" spans="1:20" ht="16.2" thickBot="1" x14ac:dyDescent="0.35">
      <c r="A36" s="299" t="s">
        <v>121</v>
      </c>
      <c r="B36" s="300"/>
      <c r="C36" s="301" t="str">
        <f>IF(OR(B36=0,B36=""),"VOID CONT.?","PASS")</f>
        <v>VOID CONT.?</v>
      </c>
      <c r="D36" s="302" t="str">
        <f>IF(ISERROR('5 Unit Wt_Voids in Agg'!M29),"", '5 Unit Wt_Voids in Agg'!M29)</f>
        <v/>
      </c>
      <c r="E36" s="303" t="s">
        <v>341</v>
      </c>
      <c r="H36" s="282"/>
      <c r="I36" s="279"/>
      <c r="J36" s="283"/>
      <c r="L36" s="280"/>
      <c r="M36" s="262"/>
      <c r="N36" s="262"/>
      <c r="O36" s="262"/>
      <c r="P36" s="262"/>
      <c r="Q36" s="262"/>
      <c r="S36" s="263"/>
      <c r="T36" s="263"/>
    </row>
    <row r="37" spans="1:20" ht="16.2" thickBot="1" x14ac:dyDescent="0.35">
      <c r="A37" s="1091" t="s">
        <v>263</v>
      </c>
      <c r="B37" s="1092"/>
      <c r="C37" s="1093"/>
      <c r="D37" s="276"/>
      <c r="E37" s="262"/>
      <c r="H37" s="282"/>
      <c r="I37" s="279"/>
      <c r="J37" s="283"/>
      <c r="L37" s="280"/>
      <c r="M37" s="262"/>
      <c r="N37" s="262"/>
      <c r="O37" s="262"/>
      <c r="P37" s="262"/>
      <c r="Q37" s="262"/>
      <c r="S37" s="263"/>
      <c r="T37" s="263"/>
    </row>
    <row r="38" spans="1:20" x14ac:dyDescent="0.3">
      <c r="A38" s="291" t="s">
        <v>68</v>
      </c>
      <c r="B38" s="304"/>
      <c r="C38" s="305" t="s">
        <v>264</v>
      </c>
      <c r="D38" s="276"/>
      <c r="E38" s="262"/>
      <c r="H38" s="282"/>
      <c r="I38" s="279"/>
      <c r="J38" s="283"/>
      <c r="L38" s="280"/>
      <c r="M38" s="262"/>
      <c r="N38" s="262"/>
      <c r="O38" s="262"/>
      <c r="P38" s="262"/>
      <c r="Q38" s="262"/>
      <c r="S38" s="263"/>
      <c r="T38" s="263"/>
    </row>
    <row r="39" spans="1:20" x14ac:dyDescent="0.3">
      <c r="A39" s="291" t="s">
        <v>72</v>
      </c>
      <c r="B39" s="304"/>
      <c r="C39" s="306" t="s">
        <v>264</v>
      </c>
      <c r="D39" s="276"/>
      <c r="E39" s="262"/>
      <c r="H39" s="282"/>
      <c r="I39" s="279"/>
      <c r="J39" s="283"/>
      <c r="L39" s="280"/>
      <c r="M39" s="262"/>
      <c r="N39" s="262"/>
      <c r="O39" s="262"/>
      <c r="P39" s="262"/>
      <c r="Q39" s="262"/>
      <c r="S39" s="263"/>
      <c r="T39" s="263"/>
    </row>
    <row r="40" spans="1:20" ht="15.6" customHeight="1" x14ac:dyDescent="0.3">
      <c r="A40" s="291" t="s">
        <v>206</v>
      </c>
      <c r="B40" s="304"/>
      <c r="C40" s="306" t="s">
        <v>264</v>
      </c>
      <c r="D40" s="276"/>
      <c r="E40" s="262"/>
    </row>
    <row r="41" spans="1:20" x14ac:dyDescent="0.3">
      <c r="A41" s="291" t="s">
        <v>208</v>
      </c>
      <c r="B41" s="304"/>
      <c r="C41" s="306" t="s">
        <v>264</v>
      </c>
      <c r="D41" s="276"/>
      <c r="E41" s="262"/>
      <c r="H41" s="278"/>
      <c r="I41" s="279"/>
    </row>
    <row r="42" spans="1:20" ht="18.600000000000001" thickBot="1" x14ac:dyDescent="0.4">
      <c r="A42" s="307" t="s">
        <v>209</v>
      </c>
      <c r="B42" s="308">
        <f>IF(SUM(B38:B41)&lt;=30,SUM(B38:B41),"ERROR: &gt;30%")</f>
        <v>0</v>
      </c>
      <c r="C42" s="309" t="s">
        <v>264</v>
      </c>
      <c r="D42" s="276"/>
      <c r="E42" s="262"/>
      <c r="H42" s="310"/>
      <c r="I42" s="310"/>
    </row>
    <row r="43" spans="1:20" ht="15.6" customHeight="1" thickBot="1" x14ac:dyDescent="0.35">
      <c r="A43" s="312"/>
      <c r="B43" s="313"/>
      <c r="C43" s="279"/>
      <c r="D43" s="276"/>
      <c r="E43" s="262"/>
      <c r="L43" s="311"/>
      <c r="M43" s="311"/>
      <c r="N43" s="311"/>
    </row>
    <row r="44" spans="1:20" ht="15.6" customHeight="1" thickBot="1" x14ac:dyDescent="0.35">
      <c r="A44" s="1091" t="s">
        <v>73</v>
      </c>
      <c r="B44" s="1092"/>
      <c r="C44" s="1092"/>
      <c r="D44" s="1092"/>
      <c r="E44" s="1092"/>
      <c r="F44" s="1092"/>
      <c r="G44" s="1093"/>
      <c r="H44" s="1110" t="str">
        <f>IF(C46="Municipal","No Test Number Required",IF(AND(C46&lt;&gt;"Municipal",F46=""),"Test Number Required",""))</f>
        <v>No Test Number Required</v>
      </c>
      <c r="I44" s="1111"/>
      <c r="L44" s="311"/>
      <c r="M44" s="311"/>
      <c r="N44" s="311"/>
    </row>
    <row r="45" spans="1:20" ht="15.6" customHeight="1" thickBot="1" x14ac:dyDescent="0.4">
      <c r="A45" s="318"/>
      <c r="B45" s="319" t="s">
        <v>74</v>
      </c>
      <c r="C45" s="314" t="s">
        <v>445</v>
      </c>
      <c r="D45" s="1120" t="s">
        <v>170</v>
      </c>
      <c r="E45" s="1120"/>
      <c r="F45" s="319" t="s">
        <v>171</v>
      </c>
      <c r="G45" s="320" t="s">
        <v>239</v>
      </c>
      <c r="H45" s="1110"/>
      <c r="I45" s="1111"/>
      <c r="L45" s="311"/>
      <c r="M45" s="311"/>
      <c r="N45" s="311"/>
    </row>
    <row r="46" spans="1:20" ht="16.2" thickBot="1" x14ac:dyDescent="0.35">
      <c r="A46" s="321" t="s">
        <v>75</v>
      </c>
      <c r="B46" s="322" t="str">
        <f>IF(ISNUMBER('4 Mix Design'!D24/8.34),'4 Mix Design'!D24/8.33,"")</f>
        <v/>
      </c>
      <c r="C46" s="502" t="s">
        <v>399</v>
      </c>
      <c r="D46" s="1121"/>
      <c r="E46" s="1122"/>
      <c r="F46" s="502"/>
      <c r="G46" s="323">
        <v>1</v>
      </c>
      <c r="H46" s="1110"/>
      <c r="I46" s="1111"/>
      <c r="J46" s="311"/>
      <c r="K46" s="311"/>
      <c r="L46" s="311"/>
      <c r="M46" s="311"/>
      <c r="N46" s="311"/>
    </row>
    <row r="47" spans="1:20" ht="15.6" customHeight="1" thickBot="1" x14ac:dyDescent="0.35">
      <c r="A47" s="739"/>
      <c r="D47" s="740"/>
      <c r="E47" s="558"/>
      <c r="F47" s="558"/>
      <c r="H47" s="311"/>
      <c r="I47" s="311"/>
      <c r="J47" s="311"/>
      <c r="K47" s="311"/>
      <c r="L47" s="311"/>
      <c r="M47" s="311"/>
      <c r="N47" s="311"/>
    </row>
    <row r="48" spans="1:20" ht="15.6" customHeight="1" thickBot="1" x14ac:dyDescent="0.35">
      <c r="A48" s="1091" t="s">
        <v>76</v>
      </c>
      <c r="B48" s="1092"/>
      <c r="C48" s="1092"/>
      <c r="D48" s="1092"/>
      <c r="E48" s="1092"/>
      <c r="F48" s="1092"/>
      <c r="G48" s="1093"/>
      <c r="H48" s="311"/>
      <c r="I48" s="311"/>
      <c r="J48" s="311"/>
      <c r="K48" s="311"/>
      <c r="L48" s="311"/>
      <c r="M48" s="311"/>
      <c r="N48" s="311"/>
    </row>
    <row r="49" spans="1:14" ht="18.600000000000001" thickBot="1" x14ac:dyDescent="0.4">
      <c r="A49" s="324"/>
      <c r="B49" s="1109" t="s">
        <v>77</v>
      </c>
      <c r="C49" s="1100"/>
      <c r="D49" s="1112" t="s">
        <v>313</v>
      </c>
      <c r="E49" s="1113"/>
      <c r="F49" s="1100" t="s">
        <v>156</v>
      </c>
      <c r="G49" s="1101"/>
      <c r="H49" s="311"/>
      <c r="I49" s="311"/>
      <c r="J49" s="311"/>
      <c r="K49" s="311"/>
      <c r="L49" s="311"/>
      <c r="M49" s="311"/>
      <c r="N49" s="311"/>
    </row>
    <row r="50" spans="1:14" x14ac:dyDescent="0.3">
      <c r="A50" s="325">
        <v>1</v>
      </c>
      <c r="B50" s="1106"/>
      <c r="C50" s="1117"/>
      <c r="D50" s="1106"/>
      <c r="E50" s="1107"/>
      <c r="F50" s="1118"/>
      <c r="G50" s="1119"/>
      <c r="L50" s="317"/>
    </row>
    <row r="51" spans="1:14" x14ac:dyDescent="0.3">
      <c r="A51" s="326">
        <v>2</v>
      </c>
      <c r="B51" s="1102"/>
      <c r="C51" s="1103"/>
      <c r="D51" s="1102"/>
      <c r="E51" s="1108"/>
      <c r="F51" s="1104"/>
      <c r="G51" s="1105"/>
    </row>
    <row r="52" spans="1:14" ht="16.2" customHeight="1" x14ac:dyDescent="0.3">
      <c r="A52" s="326">
        <v>3</v>
      </c>
      <c r="B52" s="1102"/>
      <c r="C52" s="1103"/>
      <c r="D52" s="1102"/>
      <c r="E52" s="1108"/>
      <c r="F52" s="1104"/>
      <c r="G52" s="1105"/>
    </row>
    <row r="53" spans="1:14" ht="16.2" thickBot="1" x14ac:dyDescent="0.35">
      <c r="A53" s="327">
        <v>4</v>
      </c>
      <c r="B53" s="1098"/>
      <c r="C53" s="1114"/>
      <c r="D53" s="1098"/>
      <c r="E53" s="1099"/>
      <c r="F53" s="1115"/>
      <c r="G53" s="1116"/>
    </row>
    <row r="55" spans="1:14" x14ac:dyDescent="0.3">
      <c r="A55" s="262"/>
      <c r="B55" s="262"/>
      <c r="C55" s="262"/>
      <c r="D55" s="262"/>
    </row>
    <row r="62" spans="1:14" x14ac:dyDescent="0.3">
      <c r="F62" s="276"/>
      <c r="G62" s="277"/>
    </row>
    <row r="63" spans="1:14" x14ac:dyDescent="0.3">
      <c r="F63" s="276"/>
    </row>
    <row r="64" spans="1:14" x14ac:dyDescent="0.3">
      <c r="F64" s="276"/>
    </row>
    <row r="65" spans="1:7" x14ac:dyDescent="0.3">
      <c r="F65" s="276"/>
      <c r="G65" s="312"/>
    </row>
    <row r="66" spans="1:7" x14ac:dyDescent="0.3">
      <c r="F66" s="276"/>
      <c r="G66" s="312"/>
    </row>
    <row r="67" spans="1:7" x14ac:dyDescent="0.3">
      <c r="F67" s="262"/>
      <c r="G67" s="312"/>
    </row>
    <row r="68" spans="1:7" x14ac:dyDescent="0.3">
      <c r="F68" s="262"/>
      <c r="G68" s="312"/>
    </row>
    <row r="69" spans="1:7" x14ac:dyDescent="0.3">
      <c r="F69" s="262"/>
      <c r="G69" s="312"/>
    </row>
    <row r="70" spans="1:7" x14ac:dyDescent="0.3">
      <c r="F70" s="262"/>
      <c r="G70" s="312"/>
    </row>
    <row r="71" spans="1:7" x14ac:dyDescent="0.3">
      <c r="F71" s="262"/>
      <c r="G71" s="312"/>
    </row>
    <row r="72" spans="1:7" x14ac:dyDescent="0.3">
      <c r="F72" s="262"/>
      <c r="G72" s="312"/>
    </row>
    <row r="73" spans="1:7" x14ac:dyDescent="0.3">
      <c r="F73" s="262"/>
      <c r="G73" s="312"/>
    </row>
    <row r="74" spans="1:7" x14ac:dyDescent="0.3">
      <c r="F74" s="262"/>
      <c r="G74" s="312"/>
    </row>
    <row r="75" spans="1:7" x14ac:dyDescent="0.3">
      <c r="F75" s="262"/>
    </row>
    <row r="76" spans="1:7" x14ac:dyDescent="0.3">
      <c r="A76" s="260"/>
      <c r="B76" s="276"/>
      <c r="C76" s="276"/>
      <c r="D76" s="276"/>
      <c r="E76" s="262"/>
      <c r="F76" s="262"/>
      <c r="G76" s="312"/>
    </row>
    <row r="77" spans="1:7" ht="18" x14ac:dyDescent="0.35">
      <c r="G77" s="310"/>
    </row>
    <row r="78" spans="1:7" x14ac:dyDescent="0.3">
      <c r="G78" s="245"/>
    </row>
    <row r="84" spans="1:7" x14ac:dyDescent="0.3">
      <c r="A84" s="260"/>
      <c r="C84" s="328"/>
      <c r="D84" s="329"/>
      <c r="G84" s="311"/>
    </row>
    <row r="85" spans="1:7" x14ac:dyDescent="0.3">
      <c r="A85" s="330"/>
      <c r="C85" s="229"/>
      <c r="D85" s="329"/>
      <c r="G85" s="311"/>
    </row>
    <row r="86" spans="1:7" x14ac:dyDescent="0.3">
      <c r="A86" s="1097"/>
      <c r="B86" s="1097"/>
      <c r="C86" s="1097"/>
      <c r="D86" s="276"/>
      <c r="G86" s="311"/>
    </row>
    <row r="89" spans="1:7" x14ac:dyDescent="0.3">
      <c r="F89" s="1096"/>
      <c r="G89" s="1096"/>
    </row>
    <row r="90" spans="1:7" x14ac:dyDescent="0.3">
      <c r="F90" s="1096"/>
      <c r="G90" s="1096"/>
    </row>
    <row r="103" spans="2:6" x14ac:dyDescent="0.3">
      <c r="D103" s="331"/>
      <c r="E103" s="332"/>
    </row>
    <row r="104" spans="2:6" x14ac:dyDescent="0.3">
      <c r="D104" s="331"/>
      <c r="E104" s="332"/>
    </row>
    <row r="105" spans="2:6" x14ac:dyDescent="0.3">
      <c r="D105" s="331"/>
      <c r="E105" s="332"/>
    </row>
    <row r="106" spans="2:6" x14ac:dyDescent="0.3">
      <c r="D106" s="331"/>
      <c r="E106" s="332"/>
    </row>
    <row r="107" spans="2:6" x14ac:dyDescent="0.3">
      <c r="D107" s="331"/>
      <c r="E107" s="332"/>
      <c r="F107" s="333"/>
    </row>
    <row r="108" spans="2:6" x14ac:dyDescent="0.3">
      <c r="B108" s="245"/>
      <c r="C108" s="245"/>
      <c r="D108" s="711"/>
      <c r="E108" s="712"/>
      <c r="F108" s="333"/>
    </row>
    <row r="109" spans="2:6" x14ac:dyDescent="0.3">
      <c r="D109" s="331"/>
      <c r="E109" s="332"/>
      <c r="F109" s="333"/>
    </row>
    <row r="110" spans="2:6" x14ac:dyDescent="0.3">
      <c r="F110" s="333"/>
    </row>
    <row r="111" spans="2:6" x14ac:dyDescent="0.3">
      <c r="F111" s="333"/>
    </row>
    <row r="112" spans="2:6" x14ac:dyDescent="0.3">
      <c r="F112" s="333"/>
    </row>
    <row r="113" spans="2:6" x14ac:dyDescent="0.3">
      <c r="F113" s="333"/>
    </row>
    <row r="114" spans="2:6" x14ac:dyDescent="0.3">
      <c r="B114" s="334"/>
      <c r="C114" s="335"/>
      <c r="D114" s="335"/>
    </row>
    <row r="115" spans="2:6" x14ac:dyDescent="0.3">
      <c r="B115" s="334"/>
      <c r="C115" s="335"/>
      <c r="D115" s="335"/>
    </row>
    <row r="116" spans="2:6" x14ac:dyDescent="0.3">
      <c r="B116" s="334"/>
      <c r="C116" s="335"/>
      <c r="D116" s="335"/>
    </row>
    <row r="117" spans="2:6" x14ac:dyDescent="0.3">
      <c r="B117" s="334"/>
      <c r="C117" s="335"/>
      <c r="D117" s="335"/>
    </row>
    <row r="118" spans="2:6" x14ac:dyDescent="0.3">
      <c r="B118" s="334"/>
      <c r="C118" s="335"/>
      <c r="D118" s="335"/>
    </row>
    <row r="119" spans="2:6" x14ac:dyDescent="0.3">
      <c r="B119" s="334"/>
      <c r="C119" s="335"/>
      <c r="D119" s="335"/>
    </row>
    <row r="120" spans="2:6" x14ac:dyDescent="0.3">
      <c r="B120" s="334"/>
      <c r="C120" s="336"/>
      <c r="D120" s="337"/>
    </row>
    <row r="121" spans="2:6" x14ac:dyDescent="0.3">
      <c r="C121" s="336"/>
      <c r="D121" s="337"/>
    </row>
    <row r="122" spans="2:6" x14ac:dyDescent="0.3">
      <c r="C122" s="336"/>
      <c r="D122" s="337"/>
    </row>
    <row r="123" spans="2:6" x14ac:dyDescent="0.3">
      <c r="C123" s="336"/>
      <c r="D123" s="337"/>
    </row>
    <row r="124" spans="2:6" x14ac:dyDescent="0.3">
      <c r="C124" s="336"/>
      <c r="D124" s="337"/>
    </row>
    <row r="125" spans="2:6" x14ac:dyDescent="0.3">
      <c r="C125" s="336"/>
      <c r="D125" s="337"/>
    </row>
    <row r="126" spans="2:6" x14ac:dyDescent="0.3">
      <c r="C126" s="336"/>
      <c r="D126" s="337"/>
    </row>
    <row r="127" spans="2:6" x14ac:dyDescent="0.3">
      <c r="C127" s="336"/>
      <c r="D127" s="337"/>
    </row>
    <row r="128" spans="2:6" x14ac:dyDescent="0.3">
      <c r="C128" s="336"/>
      <c r="D128" s="337"/>
    </row>
    <row r="129" spans="3:12" x14ac:dyDescent="0.3">
      <c r="C129" s="336"/>
      <c r="D129" s="337"/>
    </row>
    <row r="131" spans="3:12" x14ac:dyDescent="0.3">
      <c r="E131" s="338"/>
    </row>
    <row r="132" spans="3:12" x14ac:dyDescent="0.3">
      <c r="D132" s="339"/>
      <c r="E132" s="338"/>
    </row>
    <row r="133" spans="3:12" x14ac:dyDescent="0.3">
      <c r="D133" s="339"/>
      <c r="E133" s="338"/>
    </row>
    <row r="134" spans="3:12" x14ac:dyDescent="0.3">
      <c r="D134" s="339"/>
      <c r="E134" s="338"/>
    </row>
    <row r="135" spans="3:12" x14ac:dyDescent="0.3">
      <c r="D135" s="339"/>
      <c r="E135" s="338"/>
    </row>
    <row r="136" spans="3:12" x14ac:dyDescent="0.3">
      <c r="D136" s="339"/>
      <c r="E136" s="338"/>
    </row>
    <row r="137" spans="3:12" x14ac:dyDescent="0.3">
      <c r="D137" s="339"/>
      <c r="E137" s="338"/>
      <c r="K137" s="338"/>
      <c r="L137" s="339"/>
    </row>
    <row r="138" spans="3:12" x14ac:dyDescent="0.3">
      <c r="D138" s="339"/>
      <c r="K138" s="338"/>
      <c r="L138" s="339"/>
    </row>
    <row r="139" spans="3:12" x14ac:dyDescent="0.3">
      <c r="D139" s="339"/>
      <c r="K139" s="338"/>
      <c r="L139" s="339"/>
    </row>
    <row r="140" spans="3:12" x14ac:dyDescent="0.3">
      <c r="D140" s="339"/>
      <c r="K140" s="338"/>
      <c r="L140" s="339"/>
    </row>
    <row r="141" spans="3:12" x14ac:dyDescent="0.3">
      <c r="D141" s="339"/>
      <c r="K141" s="338"/>
      <c r="L141" s="339"/>
    </row>
    <row r="142" spans="3:12" x14ac:dyDescent="0.3">
      <c r="D142" s="339"/>
      <c r="K142" s="338"/>
      <c r="L142" s="339"/>
    </row>
    <row r="143" spans="3:12" x14ac:dyDescent="0.3">
      <c r="D143" s="339"/>
      <c r="K143" s="338"/>
      <c r="L143" s="339"/>
    </row>
    <row r="144" spans="3:12" x14ac:dyDescent="0.3">
      <c r="D144" s="339"/>
    </row>
    <row r="146" spans="10:11" x14ac:dyDescent="0.3">
      <c r="J146" s="340"/>
      <c r="K146" s="340"/>
    </row>
    <row r="147" spans="10:11" x14ac:dyDescent="0.3">
      <c r="J147" s="228"/>
      <c r="K147" s="228"/>
    </row>
    <row r="162" spans="5:5" x14ac:dyDescent="0.3">
      <c r="E162" s="337"/>
    </row>
    <row r="163" spans="5:5" x14ac:dyDescent="0.3">
      <c r="E163" s="337"/>
    </row>
    <row r="164" spans="5:5" x14ac:dyDescent="0.3">
      <c r="E164" s="337"/>
    </row>
    <row r="165" spans="5:5" x14ac:dyDescent="0.3">
      <c r="E165" s="337"/>
    </row>
    <row r="166" spans="5:5" x14ac:dyDescent="0.3">
      <c r="E166" s="337"/>
    </row>
    <row r="167" spans="5:5" x14ac:dyDescent="0.3">
      <c r="E167" s="337"/>
    </row>
    <row r="168" spans="5:5" x14ac:dyDescent="0.3">
      <c r="E168" s="337"/>
    </row>
    <row r="169" spans="5:5" x14ac:dyDescent="0.3">
      <c r="E169" s="337"/>
    </row>
    <row r="170" spans="5:5" x14ac:dyDescent="0.3">
      <c r="E170" s="337"/>
    </row>
    <row r="171" spans="5:5" x14ac:dyDescent="0.3">
      <c r="E171" s="337"/>
    </row>
    <row r="172" spans="5:5" x14ac:dyDescent="0.3">
      <c r="E172" s="337"/>
    </row>
  </sheetData>
  <sheetProtection selectLockedCells="1"/>
  <mergeCells count="59">
    <mergeCell ref="E5:G5"/>
    <mergeCell ref="H5:I5"/>
    <mergeCell ref="A6:D6"/>
    <mergeCell ref="E6:I6"/>
    <mergeCell ref="A37:C37"/>
    <mergeCell ref="D20:D21"/>
    <mergeCell ref="G17:H17"/>
    <mergeCell ref="F14:G14"/>
    <mergeCell ref="E20:E21"/>
    <mergeCell ref="A26:B26"/>
    <mergeCell ref="A11:E11"/>
    <mergeCell ref="F12:G12"/>
    <mergeCell ref="A19:D19"/>
    <mergeCell ref="A20:A21"/>
    <mergeCell ref="B20:B21"/>
    <mergeCell ref="A30:C30"/>
    <mergeCell ref="A1:E1"/>
    <mergeCell ref="F1:I1"/>
    <mergeCell ref="A8:D8"/>
    <mergeCell ref="E8:I8"/>
    <mergeCell ref="A9:D9"/>
    <mergeCell ref="E9:I9"/>
    <mergeCell ref="A4:B4"/>
    <mergeCell ref="C4:D4"/>
    <mergeCell ref="E4:G4"/>
    <mergeCell ref="H4:I4"/>
    <mergeCell ref="A2:I2"/>
    <mergeCell ref="A3:G3"/>
    <mergeCell ref="A7:D7"/>
    <mergeCell ref="E7:I7"/>
    <mergeCell ref="A5:B5"/>
    <mergeCell ref="C5:D5"/>
    <mergeCell ref="H44:I46"/>
    <mergeCell ref="D49:E49"/>
    <mergeCell ref="B53:C53"/>
    <mergeCell ref="F53:G53"/>
    <mergeCell ref="B50:C50"/>
    <mergeCell ref="F50:G50"/>
    <mergeCell ref="B51:C51"/>
    <mergeCell ref="F51:G51"/>
    <mergeCell ref="A48:G48"/>
    <mergeCell ref="D45:E45"/>
    <mergeCell ref="D46:E46"/>
    <mergeCell ref="A44:G44"/>
    <mergeCell ref="F89:G90"/>
    <mergeCell ref="A86:C86"/>
    <mergeCell ref="D53:E53"/>
    <mergeCell ref="F49:G49"/>
    <mergeCell ref="B52:C52"/>
    <mergeCell ref="F52:G52"/>
    <mergeCell ref="D50:E50"/>
    <mergeCell ref="D51:E51"/>
    <mergeCell ref="D52:E52"/>
    <mergeCell ref="B49:C49"/>
    <mergeCell ref="A25:B25"/>
    <mergeCell ref="C20:C21"/>
    <mergeCell ref="A24:C24"/>
    <mergeCell ref="A28:B28"/>
    <mergeCell ref="A27:B27"/>
  </mergeCells>
  <conditionalFormatting sqref="B42">
    <cfRule type="cellIs" dxfId="96" priority="14" operator="equal">
      <formula>"ERROR: &gt;30%"</formula>
    </cfRule>
    <cfRule type="cellIs" dxfId="95" priority="15" operator="notEqual">
      <formula>"ERROR"</formula>
    </cfRule>
  </conditionalFormatting>
  <conditionalFormatting sqref="C27:C29">
    <cfRule type="cellIs" dxfId="94" priority="12" operator="equal">
      <formula>"CLASS?"</formula>
    </cfRule>
  </conditionalFormatting>
  <conditionalFormatting sqref="C28">
    <cfRule type="cellIs" dxfId="93" priority="1" operator="equal">
      <formula>"GRADE?"</formula>
    </cfRule>
  </conditionalFormatting>
  <conditionalFormatting sqref="C31:C32">
    <cfRule type="cellIs" dxfId="92" priority="10" operator="equal">
      <formula>"FAIL"</formula>
    </cfRule>
  </conditionalFormatting>
  <conditionalFormatting sqref="C31:C33">
    <cfRule type="cellIs" dxfId="91" priority="8" operator="equal">
      <formula>"PASS"</formula>
    </cfRule>
  </conditionalFormatting>
  <conditionalFormatting sqref="C32">
    <cfRule type="cellIs" dxfId="90" priority="9" operator="equal">
      <formula>"w/cm ?"</formula>
    </cfRule>
  </conditionalFormatting>
  <conditionalFormatting sqref="C33">
    <cfRule type="cellIs" dxfId="89" priority="7" operator="notEqual">
      <formula>"PASS"</formula>
    </cfRule>
  </conditionalFormatting>
  <conditionalFormatting sqref="C36">
    <cfRule type="cellIs" dxfId="88" priority="5" operator="notEqual">
      <formula>"VOID CONT.?"</formula>
    </cfRule>
    <cfRule type="cellIs" dxfId="87" priority="6" operator="equal">
      <formula>"VOID CONT.?"</formula>
    </cfRule>
  </conditionalFormatting>
  <conditionalFormatting sqref="E20:E21">
    <cfRule type="cellIs" dxfId="86" priority="4" operator="equal">
      <formula>"PLEASE FILL TABLE"</formula>
    </cfRule>
  </conditionalFormatting>
  <conditionalFormatting sqref="H44">
    <cfRule type="cellIs" dxfId="85" priority="3" operator="equal">
      <formula>"No Test Number Required"</formula>
    </cfRule>
  </conditionalFormatting>
  <conditionalFormatting sqref="H44:I46">
    <cfRule type="cellIs" dxfId="84" priority="2" operator="equal">
      <formula>"Test Number Required"</formula>
    </cfRule>
  </conditionalFormatting>
  <printOptions verticalCentered="1"/>
  <pageMargins left="0.25" right="0.25" top="0.75" bottom="0.75" header="0.3" footer="0.3"/>
  <pageSetup scale="57" orientation="landscape" r:id="rId1"/>
  <headerFooter>
    <oddFooter>&amp;L&amp;9&amp;A&amp;C&amp;9&amp;P of &amp;N&amp;R&amp;9&amp;F</oddFooter>
  </headerFooter>
  <colBreaks count="1" manualBreakCount="1">
    <brk id="9" max="1048575" man="1"/>
  </colBreaks>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4A5D152A-E5B7-4860-9F6F-578EED8ED061}">
          <x14:formula1>
            <xm:f>'6 Agg Analysis'!$AA$44:$AA$49</xm:f>
          </x14:formula1>
          <xm:sqref>C26</xm:sqref>
        </x14:dataValidation>
        <x14:dataValidation type="list" allowBlank="1" showInputMessage="1" showErrorMessage="1" xr:uid="{24667BE4-85DA-4C3F-AB35-50F3FD0153D5}">
          <x14:formula1>
            <xm:f>'6 Agg Analysis'!$AD$44:$AD$47</xm:f>
          </x14:formula1>
          <xm:sqref>C46</xm:sqref>
        </x14:dataValidation>
        <x14:dataValidation type="list" allowBlank="1" showInputMessage="1" showErrorMessage="1" xr:uid="{5D9D59AC-6900-48BB-B641-6B626D41E273}">
          <x14:formula1>
            <xm:f>'6 Agg Analysis'!$AE$44:$AE$48</xm:f>
          </x14:formula1>
          <xm:sqref>C25</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DB08F2-1E50-436C-8C86-631E6B75F762}">
  <dimension ref="A1:R108"/>
  <sheetViews>
    <sheetView showGridLines="0" zoomScale="80" zoomScaleNormal="80" zoomScaleSheetLayoutView="85" workbookViewId="0">
      <selection activeCell="R45" sqref="R45"/>
    </sheetView>
  </sheetViews>
  <sheetFormatPr defaultColWidth="8.6640625" defaultRowHeight="15.6" x14ac:dyDescent="0.3"/>
  <cols>
    <col min="1" max="1" width="19.44140625" style="344" customWidth="1"/>
    <col min="2" max="2" width="18.88671875" style="344" customWidth="1"/>
    <col min="3" max="3" width="14.5546875" style="344" customWidth="1"/>
    <col min="4" max="4" width="14.6640625" style="344" customWidth="1"/>
    <col min="5" max="5" width="14.44140625" style="344" customWidth="1"/>
    <col min="6" max="6" width="13.5546875" style="344" bestFit="1" customWidth="1"/>
    <col min="7" max="7" width="16.88671875" style="344" bestFit="1" customWidth="1"/>
    <col min="8" max="8" width="14.44140625" style="344" bestFit="1" customWidth="1"/>
    <col min="9" max="9" width="14.44140625" style="344" customWidth="1"/>
    <col min="10" max="11" width="21.6640625" style="344" customWidth="1"/>
    <col min="12" max="12" width="17.33203125" style="344" bestFit="1" customWidth="1"/>
    <col min="13" max="13" width="11.44140625" style="344" customWidth="1"/>
    <col min="14" max="14" width="8.6640625" style="344"/>
    <col min="15" max="15" width="6.109375" style="344" customWidth="1"/>
    <col min="16" max="16" width="14.88671875" style="344" hidden="1" customWidth="1"/>
    <col min="17" max="17" width="4.44140625" style="344" customWidth="1"/>
    <col min="18" max="16384" width="8.6640625" style="344"/>
  </cols>
  <sheetData>
    <row r="1" spans="1:16" s="259" customFormat="1" x14ac:dyDescent="0.3">
      <c r="A1" s="1049" t="s">
        <v>378</v>
      </c>
      <c r="B1" s="1050"/>
      <c r="C1" s="1050"/>
      <c r="D1" s="1050"/>
      <c r="E1" s="1050"/>
      <c r="F1" s="1047" t="s">
        <v>365</v>
      </c>
      <c r="G1" s="1047"/>
      <c r="H1" s="1047"/>
      <c r="I1" s="1048"/>
    </row>
    <row r="2" spans="1:16" s="259" customFormat="1" x14ac:dyDescent="0.3">
      <c r="A2" s="1158" t="str">
        <f>Directions!A2</f>
        <v>DT2221     08/2022</v>
      </c>
      <c r="B2" s="1159"/>
      <c r="C2" s="1159"/>
      <c r="D2" s="1159"/>
      <c r="E2" s="1159"/>
      <c r="F2" s="1159"/>
      <c r="G2" s="1159"/>
      <c r="H2" s="1159"/>
      <c r="I2" s="1160"/>
    </row>
    <row r="3" spans="1:16" s="259" customFormat="1" ht="15.6" customHeight="1" x14ac:dyDescent="0.3">
      <c r="A3" s="1058" t="s">
        <v>14</v>
      </c>
      <c r="B3" s="1059"/>
      <c r="C3" s="1059"/>
      <c r="D3" s="1059"/>
      <c r="E3" s="1059"/>
      <c r="F3" s="1059"/>
      <c r="G3" s="1059"/>
      <c r="H3" s="523" t="s">
        <v>374</v>
      </c>
      <c r="I3" s="503">
        <f>'1 Certification'!H22</f>
        <v>0</v>
      </c>
      <c r="L3" s="758"/>
      <c r="M3" s="759"/>
    </row>
    <row r="4" spans="1:16" s="259" customFormat="1" ht="15.6" customHeight="1" x14ac:dyDescent="0.3">
      <c r="A4" s="1053" t="s">
        <v>15</v>
      </c>
      <c r="B4" s="1054"/>
      <c r="C4" s="1055" t="s">
        <v>16</v>
      </c>
      <c r="D4" s="1054"/>
      <c r="E4" s="1055" t="s">
        <v>17</v>
      </c>
      <c r="F4" s="1054"/>
      <c r="G4" s="1054"/>
      <c r="H4" s="1055" t="s">
        <v>18</v>
      </c>
      <c r="I4" s="1067"/>
      <c r="L4" s="759"/>
      <c r="M4" s="759"/>
    </row>
    <row r="5" spans="1:16" s="259" customFormat="1" x14ac:dyDescent="0.3">
      <c r="A5" s="1060">
        <f>'1 Certification'!B5</f>
        <v>0</v>
      </c>
      <c r="B5" s="1061"/>
      <c r="C5" s="1062">
        <f>'1 Certification'!E5</f>
        <v>0</v>
      </c>
      <c r="D5" s="1061"/>
      <c r="E5" s="1062">
        <f>'1 Certification'!F5</f>
        <v>0</v>
      </c>
      <c r="F5" s="1061"/>
      <c r="G5" s="1061"/>
      <c r="H5" s="1064">
        <f>'1 Certification'!H5</f>
        <v>0</v>
      </c>
      <c r="I5" s="1065"/>
      <c r="P5" s="259" t="s">
        <v>2</v>
      </c>
    </row>
    <row r="6" spans="1:16" s="259" customFormat="1" x14ac:dyDescent="0.3">
      <c r="A6" s="1053" t="s">
        <v>19</v>
      </c>
      <c r="B6" s="1054"/>
      <c r="C6" s="1054"/>
      <c r="D6" s="1054"/>
      <c r="E6" s="1055" t="s">
        <v>20</v>
      </c>
      <c r="F6" s="1054"/>
      <c r="G6" s="1054"/>
      <c r="H6" s="1054"/>
      <c r="I6" s="1067"/>
    </row>
    <row r="7" spans="1:16" s="259" customFormat="1" x14ac:dyDescent="0.3">
      <c r="A7" s="1060" t="str">
        <f>IF('1 Certification'!B7=0,"",'1 Certification'!B7)</f>
        <v/>
      </c>
      <c r="B7" s="1061"/>
      <c r="C7" s="1061"/>
      <c r="D7" s="1061"/>
      <c r="E7" s="1062">
        <f>'1 Certification'!F7</f>
        <v>0</v>
      </c>
      <c r="F7" s="1061"/>
      <c r="G7" s="1061"/>
      <c r="H7" s="1061"/>
      <c r="I7" s="1063"/>
    </row>
    <row r="8" spans="1:16" s="259" customFormat="1" ht="15.6" customHeight="1" x14ac:dyDescent="0.3">
      <c r="A8" s="1053" t="s">
        <v>21</v>
      </c>
      <c r="B8" s="1054"/>
      <c r="C8" s="1054"/>
      <c r="D8" s="1054"/>
      <c r="E8" s="1055" t="s">
        <v>297</v>
      </c>
      <c r="F8" s="1054"/>
      <c r="G8" s="1054"/>
      <c r="H8" s="1054"/>
      <c r="I8" s="1067"/>
      <c r="L8" s="341"/>
      <c r="M8" s="341"/>
    </row>
    <row r="9" spans="1:16" s="259" customFormat="1" ht="18.600000000000001" thickBot="1" x14ac:dyDescent="0.35">
      <c r="A9" s="1068">
        <f>'1 Certification'!B9</f>
        <v>0</v>
      </c>
      <c r="B9" s="1069"/>
      <c r="C9" s="1069"/>
      <c r="D9" s="1069"/>
      <c r="E9" s="1070">
        <f>'1 Certification'!F9</f>
        <v>0</v>
      </c>
      <c r="F9" s="1069"/>
      <c r="G9" s="1069"/>
      <c r="H9" s="1069"/>
      <c r="I9" s="1071"/>
      <c r="J9" s="1161" t="str">
        <f>Directions!N8</f>
        <v>Version 2.1</v>
      </c>
      <c r="K9" s="1161"/>
      <c r="L9" s="342"/>
      <c r="M9" s="342"/>
    </row>
    <row r="10" spans="1:16" s="259" customFormat="1" ht="16.2" thickBot="1" x14ac:dyDescent="0.35">
      <c r="A10" s="260"/>
      <c r="B10" s="260"/>
      <c r="C10" s="260"/>
      <c r="D10" s="260"/>
      <c r="E10" s="260"/>
      <c r="F10" s="260"/>
      <c r="G10" s="260"/>
      <c r="H10" s="260"/>
      <c r="I10" s="260"/>
      <c r="J10" s="1162"/>
      <c r="K10" s="1162"/>
      <c r="L10" s="343"/>
      <c r="M10" s="343"/>
    </row>
    <row r="11" spans="1:16" ht="16.2" thickBot="1" x14ac:dyDescent="0.35">
      <c r="A11" s="1138" t="s">
        <v>78</v>
      </c>
      <c r="B11" s="1179"/>
      <c r="C11" s="1179"/>
      <c r="D11" s="1179"/>
      <c r="E11" s="1179"/>
      <c r="F11" s="1179"/>
      <c r="G11" s="1179"/>
      <c r="H11" s="1179"/>
      <c r="I11" s="1180"/>
      <c r="J11" s="259"/>
      <c r="K11" s="259"/>
      <c r="L11" s="259"/>
      <c r="P11" s="620" t="s">
        <v>437</v>
      </c>
    </row>
    <row r="12" spans="1:16" ht="15.6" customHeight="1" x14ac:dyDescent="0.3">
      <c r="A12" s="1146" t="s">
        <v>79</v>
      </c>
      <c r="B12" s="1109" t="s">
        <v>219</v>
      </c>
      <c r="C12" s="1101"/>
      <c r="D12" s="1148" t="s">
        <v>342</v>
      </c>
      <c r="E12" s="1156" t="s">
        <v>394</v>
      </c>
      <c r="F12" s="1126" t="s">
        <v>26</v>
      </c>
      <c r="G12" s="1141" t="s">
        <v>343</v>
      </c>
      <c r="H12" s="1148" t="s">
        <v>210</v>
      </c>
      <c r="I12" s="1141" t="s">
        <v>396</v>
      </c>
      <c r="J12" s="259"/>
      <c r="K12" s="259"/>
      <c r="L12" s="259"/>
      <c r="P12" s="620">
        <v>27.2</v>
      </c>
    </row>
    <row r="13" spans="1:16" ht="16.2" thickBot="1" x14ac:dyDescent="0.35">
      <c r="A13" s="1147"/>
      <c r="B13" s="1144"/>
      <c r="C13" s="1145"/>
      <c r="D13" s="1149"/>
      <c r="E13" s="1157"/>
      <c r="F13" s="1143"/>
      <c r="G13" s="1142"/>
      <c r="H13" s="1178"/>
      <c r="I13" s="1142"/>
      <c r="J13" s="259"/>
      <c r="K13" s="259"/>
      <c r="L13" s="259"/>
      <c r="P13" s="620" t="s">
        <v>440</v>
      </c>
    </row>
    <row r="14" spans="1:16" x14ac:dyDescent="0.3">
      <c r="A14" s="345" t="str">
        <f>'2 Aggregate System'!A13</f>
        <v>Coarse A</v>
      </c>
      <c r="B14" s="1150" t="str">
        <f>IF('2 Aggregate System'!B13=0,"",'2 Aggregate System'!B13)</f>
        <v/>
      </c>
      <c r="C14" s="1151"/>
      <c r="D14" s="346"/>
      <c r="E14" s="645" t="str">
        <f>'7 Calculation Check'!R21</f>
        <v>-</v>
      </c>
      <c r="F14" s="575" t="str">
        <f>'7 Calculation Check'!J21</f>
        <v>-</v>
      </c>
      <c r="G14" s="642" t="str">
        <f>IFERROR('7 Calculation Check'!M21,"")</f>
        <v>-</v>
      </c>
      <c r="H14" s="347" t="str">
        <f>IFERROR('6 Agg Analysis'!AB34,"")</f>
        <v/>
      </c>
      <c r="I14" s="348" t="str">
        <f>IFERROR('6 Agg Analysis'!AE34,"")</f>
        <v/>
      </c>
      <c r="J14" s="259"/>
      <c r="K14" s="259"/>
      <c r="L14" s="259"/>
      <c r="P14" s="620">
        <v>24</v>
      </c>
    </row>
    <row r="15" spans="1:16" x14ac:dyDescent="0.3">
      <c r="A15" s="315" t="str">
        <f>'2 Aggregate System'!A14</f>
        <v>Coarse B</v>
      </c>
      <c r="B15" s="1150" t="str">
        <f>IF('2 Aggregate System'!B14=0,"",'2 Aggregate System'!B14)</f>
        <v/>
      </c>
      <c r="C15" s="1151"/>
      <c r="D15" s="568"/>
      <c r="E15" s="646" t="str">
        <f>'7 Calculation Check'!R22</f>
        <v>-</v>
      </c>
      <c r="F15" s="576" t="str">
        <f>'7 Calculation Check'!J22</f>
        <v>-</v>
      </c>
      <c r="G15" s="643" t="str">
        <f>IFERROR('7 Calculation Check'!M22,"")</f>
        <v>-</v>
      </c>
      <c r="H15" s="349" t="str">
        <f>IFERROR('6 Agg Analysis'!AB35,"")</f>
        <v/>
      </c>
      <c r="I15" s="350" t="str">
        <f>IFERROR('6 Agg Analysis'!AE35,"")</f>
        <v/>
      </c>
      <c r="J15" s="262"/>
      <c r="K15" s="262"/>
      <c r="L15" s="262"/>
      <c r="P15" s="620" t="s">
        <v>439</v>
      </c>
    </row>
    <row r="16" spans="1:16" x14ac:dyDescent="0.3">
      <c r="A16" s="315" t="str">
        <f>'2 Aggregate System'!A15</f>
        <v>Coarse C</v>
      </c>
      <c r="B16" s="1150" t="str">
        <f>IF('2 Aggregate System'!B15=0,"",'2 Aggregate System'!B15)</f>
        <v/>
      </c>
      <c r="C16" s="1151"/>
      <c r="D16" s="568"/>
      <c r="E16" s="646" t="str">
        <f>'7 Calculation Check'!R23</f>
        <v>-</v>
      </c>
      <c r="F16" s="576" t="str">
        <f>'7 Calculation Check'!J23</f>
        <v>-</v>
      </c>
      <c r="G16" s="643" t="str">
        <f>IFERROR('7 Calculation Check'!M23,"")</f>
        <v>-</v>
      </c>
      <c r="H16" s="349" t="str">
        <f>IFERROR('6 Agg Analysis'!AB36,"")</f>
        <v/>
      </c>
      <c r="I16" s="350" t="str">
        <f>IFERROR('6 Agg Analysis'!AE36,"")</f>
        <v/>
      </c>
      <c r="J16" s="259"/>
      <c r="K16" s="259"/>
      <c r="L16" s="259"/>
      <c r="P16" s="620">
        <f>'7 Calculation Check'!J58</f>
        <v>34</v>
      </c>
    </row>
    <row r="17" spans="1:16" x14ac:dyDescent="0.3">
      <c r="A17" s="315" t="str">
        <f>'2 Aggregate System'!A16</f>
        <v>Fine A</v>
      </c>
      <c r="B17" s="1150" t="str">
        <f>IF('2 Aggregate System'!B16=0,"",'2 Aggregate System'!B16)</f>
        <v/>
      </c>
      <c r="C17" s="1151"/>
      <c r="D17" s="568"/>
      <c r="E17" s="646" t="str">
        <f>'7 Calculation Check'!R24</f>
        <v>-</v>
      </c>
      <c r="F17" s="576" t="str">
        <f>'7 Calculation Check'!J24</f>
        <v>-</v>
      </c>
      <c r="G17" s="643" t="str">
        <f>IFERROR('7 Calculation Check'!M24,"")</f>
        <v>-</v>
      </c>
      <c r="H17" s="349" t="str">
        <f>IFERROR('6 Agg Analysis'!AB37,"")</f>
        <v/>
      </c>
      <c r="I17" s="350" t="str">
        <f>IFERROR('6 Agg Analysis'!AE37,"")</f>
        <v/>
      </c>
      <c r="J17" s="259"/>
      <c r="K17" s="259"/>
      <c r="L17" s="259"/>
      <c r="M17" s="259"/>
      <c r="P17" s="620" t="s">
        <v>438</v>
      </c>
    </row>
    <row r="18" spans="1:16" ht="16.2" thickBot="1" x14ac:dyDescent="0.35">
      <c r="A18" s="316" t="str">
        <f>'2 Aggregate System'!A17</f>
        <v>Fine B</v>
      </c>
      <c r="B18" s="1150" t="str">
        <f>IF('2 Aggregate System'!B17=0,"",'2 Aggregate System'!B17)</f>
        <v/>
      </c>
      <c r="C18" s="1151"/>
      <c r="D18" s="568"/>
      <c r="E18" s="647" t="str">
        <f>'7 Calculation Check'!R25</f>
        <v>-</v>
      </c>
      <c r="F18" s="192" t="str">
        <f>'7 Calculation Check'!J25</f>
        <v>-</v>
      </c>
      <c r="G18" s="644" t="str">
        <f>IFERROR('7 Calculation Check'!M25,"")</f>
        <v>-</v>
      </c>
      <c r="H18" s="351" t="str">
        <f>IFERROR('6 Agg Analysis'!AB38,"")</f>
        <v/>
      </c>
      <c r="I18" s="352" t="str">
        <f>IFERROR('6 Agg Analysis'!AE38,"")</f>
        <v/>
      </c>
      <c r="J18" s="259"/>
      <c r="K18" s="259"/>
      <c r="L18" s="259"/>
      <c r="M18" s="259"/>
      <c r="P18" s="620">
        <v>2.2999999999999998</v>
      </c>
    </row>
    <row r="19" spans="1:16" x14ac:dyDescent="0.3">
      <c r="A19" s="345" t="str">
        <f>'3 Paste Quality'!A13</f>
        <v>Cement</v>
      </c>
      <c r="B19" s="1152" t="str">
        <f>IF('3 Paste Quality'!B13=0,"-",'3 Paste Quality'!B13)</f>
        <v>-</v>
      </c>
      <c r="C19" s="1153"/>
      <c r="D19" s="353">
        <f>'7 Calculation Check'!K26</f>
        <v>0</v>
      </c>
      <c r="E19" s="554"/>
      <c r="F19" s="354">
        <f>'7 Calculation Check'!E11</f>
        <v>0</v>
      </c>
      <c r="G19" s="355" t="str">
        <f>'7 Calculation Check'!M26</f>
        <v>-</v>
      </c>
      <c r="H19" s="356"/>
      <c r="J19" s="259"/>
      <c r="K19" s="259"/>
      <c r="L19" s="259"/>
      <c r="M19" s="259"/>
    </row>
    <row r="20" spans="1:16" x14ac:dyDescent="0.3">
      <c r="A20" s="315" t="str">
        <f>'3 Paste Quality'!A14</f>
        <v>Fly Ash</v>
      </c>
      <c r="B20" s="1154" t="str">
        <f>IF('3 Paste Quality'!B14=0,"-",'3 Paste Quality'!B14)</f>
        <v>-</v>
      </c>
      <c r="C20" s="1155"/>
      <c r="D20" s="357" t="str">
        <f>'7 Calculation Check'!K27</f>
        <v>-</v>
      </c>
      <c r="E20" s="554"/>
      <c r="F20" s="354" t="str">
        <f>'7 Calculation Check'!E12</f>
        <v>-</v>
      </c>
      <c r="G20" s="355" t="str">
        <f>'7 Calculation Check'!M27</f>
        <v>-</v>
      </c>
      <c r="H20" s="356"/>
      <c r="J20" s="259"/>
      <c r="K20" s="259"/>
      <c r="L20" s="259"/>
      <c r="M20" s="358"/>
      <c r="N20" s="259"/>
      <c r="O20" s="259"/>
    </row>
    <row r="21" spans="1:16" x14ac:dyDescent="0.3">
      <c r="A21" s="315" t="s">
        <v>72</v>
      </c>
      <c r="B21" s="1154" t="str">
        <f>IF('3 Paste Quality'!B15=0,"-",'3 Paste Quality'!B15)</f>
        <v>-</v>
      </c>
      <c r="C21" s="1155"/>
      <c r="D21" s="357" t="str">
        <f>'7 Calculation Check'!K28</f>
        <v>-</v>
      </c>
      <c r="E21" s="554"/>
      <c r="F21" s="354" t="str">
        <f>'7 Calculation Check'!E13</f>
        <v>-</v>
      </c>
      <c r="G21" s="355" t="str">
        <f>'7 Calculation Check'!M28</f>
        <v>-</v>
      </c>
      <c r="J21" s="259"/>
      <c r="K21" s="259"/>
      <c r="L21" s="259"/>
      <c r="M21" s="358"/>
      <c r="N21" s="259"/>
      <c r="O21" s="259"/>
    </row>
    <row r="22" spans="1:16" x14ac:dyDescent="0.3">
      <c r="A22" s="315" t="s">
        <v>206</v>
      </c>
      <c r="B22" s="1154" t="str">
        <f>IF('3 Paste Quality'!B16=0,"-",'3 Paste Quality'!B16)</f>
        <v>-</v>
      </c>
      <c r="C22" s="1155"/>
      <c r="D22" s="357" t="str">
        <f>'7 Calculation Check'!K29</f>
        <v>-</v>
      </c>
      <c r="E22" s="554"/>
      <c r="F22" s="354" t="str">
        <f>'7 Calculation Check'!E14</f>
        <v>-</v>
      </c>
      <c r="G22" s="355" t="str">
        <f>'7 Calculation Check'!M29</f>
        <v>-</v>
      </c>
      <c r="J22" s="259"/>
      <c r="K22" s="259"/>
      <c r="L22" s="259"/>
      <c r="M22" s="359"/>
      <c r="N22" s="360"/>
      <c r="O22" s="359"/>
    </row>
    <row r="23" spans="1:16" x14ac:dyDescent="0.3">
      <c r="A23" s="315" t="s">
        <v>208</v>
      </c>
      <c r="B23" s="1154" t="str">
        <f>IF('3 Paste Quality'!B17=0,"-",'3 Paste Quality'!B17)</f>
        <v>-</v>
      </c>
      <c r="C23" s="1155"/>
      <c r="D23" s="357" t="str">
        <f>'7 Calculation Check'!K30</f>
        <v>-</v>
      </c>
      <c r="E23" s="554"/>
      <c r="F23" s="354" t="str">
        <f>'7 Calculation Check'!E15</f>
        <v>-</v>
      </c>
      <c r="G23" s="355" t="str">
        <f>'7 Calculation Check'!M30</f>
        <v>-</v>
      </c>
      <c r="J23" s="259"/>
      <c r="K23" s="259"/>
      <c r="L23" s="259"/>
      <c r="M23" s="359"/>
      <c r="N23" s="360"/>
      <c r="O23" s="359"/>
    </row>
    <row r="24" spans="1:16" x14ac:dyDescent="0.3">
      <c r="A24" s="315" t="s">
        <v>75</v>
      </c>
      <c r="B24" s="1186"/>
      <c r="C24" s="1187"/>
      <c r="D24" s="357" t="e">
        <f>C29*'3 Paste Quality'!B32</f>
        <v>#VALUE!</v>
      </c>
      <c r="E24" s="554"/>
      <c r="F24" s="354">
        <f>'3 Paste Quality'!$G$46</f>
        <v>1</v>
      </c>
      <c r="G24" s="355" t="str">
        <f>IFERROR('7 Calculation Check'!M31,"")</f>
        <v>CM ERROR</v>
      </c>
      <c r="H24" s="259"/>
      <c r="J24" s="259"/>
      <c r="K24" s="259"/>
      <c r="L24" s="259"/>
      <c r="M24" s="259"/>
      <c r="N24" s="259"/>
      <c r="O24" s="259"/>
    </row>
    <row r="25" spans="1:16" ht="16.2" thickBot="1" x14ac:dyDescent="0.35">
      <c r="A25" s="316" t="s">
        <v>71</v>
      </c>
      <c r="B25" s="1188"/>
      <c r="C25" s="1189"/>
      <c r="D25" s="361" t="str">
        <f>IF(ISNUMBER('3 Paste Quality'!B33),'3 Paste Quality'!B33,"")</f>
        <v/>
      </c>
      <c r="E25" s="554"/>
      <c r="F25" s="362"/>
      <c r="G25" s="361" t="str">
        <f>'7 Calculation Check'!M32</f>
        <v>AIR ?</v>
      </c>
      <c r="H25" s="259"/>
      <c r="M25" s="259"/>
      <c r="N25" s="259"/>
      <c r="O25" s="259"/>
    </row>
    <row r="26" spans="1:16" ht="16.2" thickBot="1" x14ac:dyDescent="0.35">
      <c r="A26" s="1190" t="s">
        <v>80</v>
      </c>
      <c r="B26" s="1191"/>
      <c r="C26" s="1192"/>
      <c r="D26" s="363" t="e">
        <f>SUM(D14:D24)</f>
        <v>#VALUE!</v>
      </c>
      <c r="E26" s="555"/>
      <c r="F26" s="556"/>
      <c r="G26" s="365" t="str">
        <f>IF(AND(D14=0,D15=0,D16=0,D17=0,D18=0),"ENTER WTS.",IF(OR('3 Paste Quality'!B31&lt;500,'3 Paste Quality'!B42&gt;30,'3 Paste Quality'!B31=0),"CM ERROR",SUM(G14:G25)))</f>
        <v>ENTER WTS.</v>
      </c>
      <c r="H26" s="366"/>
    </row>
    <row r="27" spans="1:16" ht="16.2" thickBot="1" x14ac:dyDescent="0.35">
      <c r="A27" s="259"/>
      <c r="B27" s="259"/>
      <c r="C27" s="328"/>
      <c r="D27" s="367"/>
      <c r="E27" s="259"/>
      <c r="F27" s="259"/>
      <c r="G27" s="259"/>
      <c r="H27" s="259"/>
      <c r="I27" s="259"/>
    </row>
    <row r="28" spans="1:16" ht="16.2" thickBot="1" x14ac:dyDescent="0.35">
      <c r="A28" s="1138" t="s">
        <v>247</v>
      </c>
      <c r="B28" s="1139"/>
      <c r="C28" s="1139"/>
      <c r="D28" s="1140"/>
      <c r="E28" s="259"/>
      <c r="F28" s="259"/>
      <c r="G28" s="259"/>
      <c r="H28" s="259"/>
      <c r="I28" s="259"/>
    </row>
    <row r="29" spans="1:16" ht="16.2" thickBot="1" x14ac:dyDescent="0.35">
      <c r="A29" s="1194" t="s">
        <v>81</v>
      </c>
      <c r="B29" s="1195"/>
      <c r="C29" s="368" t="str">
        <f>'7 Calculation Check'!F24</f>
        <v>CM ERROR</v>
      </c>
      <c r="D29" s="369" t="s">
        <v>250</v>
      </c>
      <c r="F29" s="341"/>
      <c r="G29" s="341"/>
      <c r="H29" s="341"/>
      <c r="I29" s="259"/>
    </row>
    <row r="30" spans="1:16" ht="18" thickBot="1" x14ac:dyDescent="0.35">
      <c r="A30" s="1181" t="s">
        <v>248</v>
      </c>
      <c r="B30" s="1182"/>
      <c r="C30" s="370">
        <f>SUM(G14:G18)</f>
        <v>0</v>
      </c>
      <c r="D30" s="369" t="s">
        <v>344</v>
      </c>
      <c r="F30" s="341"/>
      <c r="G30" s="341"/>
      <c r="H30" s="341"/>
      <c r="I30" s="259"/>
    </row>
    <row r="31" spans="1:16" ht="16.2" thickBot="1" x14ac:dyDescent="0.35">
      <c r="A31" s="1181" t="s">
        <v>249</v>
      </c>
      <c r="B31" s="1182"/>
      <c r="C31" s="371">
        <f>SUM(D14:D18)</f>
        <v>0</v>
      </c>
      <c r="D31" s="369" t="s">
        <v>246</v>
      </c>
      <c r="F31" s="341"/>
      <c r="G31" s="341"/>
      <c r="H31" s="341"/>
      <c r="I31" s="259"/>
    </row>
    <row r="32" spans="1:16" x14ac:dyDescent="0.3">
      <c r="A32" s="372" t="s">
        <v>226</v>
      </c>
      <c r="B32" s="373"/>
      <c r="C32" s="374" t="str">
        <f>'7 Calculation Check'!K44</f>
        <v>CM ERROR</v>
      </c>
      <c r="D32" s="375" t="s">
        <v>32</v>
      </c>
      <c r="F32" s="341"/>
      <c r="G32" s="341"/>
      <c r="H32" s="341"/>
      <c r="I32" s="259"/>
    </row>
    <row r="33" spans="1:10" x14ac:dyDescent="0.3">
      <c r="A33" s="372" t="s">
        <v>225</v>
      </c>
      <c r="B33" s="373"/>
      <c r="C33" s="374" t="str">
        <f>'7 Calculation Check'!K45</f>
        <v>CM ERROR</v>
      </c>
      <c r="D33" s="375" t="s">
        <v>32</v>
      </c>
      <c r="F33" s="341"/>
      <c r="G33" s="341"/>
      <c r="H33" s="341"/>
      <c r="I33" s="259"/>
    </row>
    <row r="34" spans="1:10" x14ac:dyDescent="0.3">
      <c r="A34" s="376" t="s">
        <v>228</v>
      </c>
      <c r="B34" s="377"/>
      <c r="C34" s="378" t="str">
        <f>'7 Calculation Check'!K46</f>
        <v>CM ERROR</v>
      </c>
      <c r="D34" s="379" t="s">
        <v>32</v>
      </c>
      <c r="F34" s="259"/>
      <c r="G34" s="259"/>
      <c r="H34" s="259"/>
      <c r="I34" s="259"/>
      <c r="J34" s="259"/>
    </row>
    <row r="35" spans="1:10" x14ac:dyDescent="0.3">
      <c r="A35" s="372" t="s">
        <v>227</v>
      </c>
      <c r="B35" s="377"/>
      <c r="C35" s="378" t="str">
        <f>'7 Calculation Check'!K47</f>
        <v>AIR ?</v>
      </c>
      <c r="D35" s="379" t="s">
        <v>32</v>
      </c>
      <c r="F35" s="259"/>
      <c r="G35" s="259"/>
      <c r="H35" s="259"/>
      <c r="I35" s="259"/>
    </row>
    <row r="36" spans="1:10" x14ac:dyDescent="0.3">
      <c r="A36" s="372" t="s">
        <v>229</v>
      </c>
      <c r="B36" s="380"/>
      <c r="C36" s="378" t="str">
        <f>'7 Calculation Check'!K48</f>
        <v>CM ERROR</v>
      </c>
      <c r="D36" s="379" t="s">
        <v>32</v>
      </c>
      <c r="F36" s="259"/>
      <c r="G36" s="259"/>
      <c r="H36" s="259"/>
      <c r="I36" s="259"/>
      <c r="J36" s="259"/>
    </row>
    <row r="37" spans="1:10" x14ac:dyDescent="0.3">
      <c r="A37" s="372" t="s">
        <v>269</v>
      </c>
      <c r="B37" s="380"/>
      <c r="C37" s="378" t="str">
        <f>'7 Calculation Check'!K49</f>
        <v>VOID CONT.?</v>
      </c>
      <c r="D37" s="379" t="s">
        <v>32</v>
      </c>
      <c r="F37" s="259"/>
      <c r="G37" s="259"/>
      <c r="H37" s="259"/>
      <c r="I37" s="259"/>
      <c r="J37" s="259"/>
    </row>
    <row r="38" spans="1:10" x14ac:dyDescent="0.3">
      <c r="A38" s="372" t="s">
        <v>82</v>
      </c>
      <c r="B38" s="381" t="s">
        <v>244</v>
      </c>
      <c r="C38" s="382" t="str">
        <f>'7 Calculation Check'!K50</f>
        <v>CM ERROR</v>
      </c>
      <c r="D38" s="379"/>
      <c r="F38" s="259"/>
      <c r="G38" s="259"/>
      <c r="H38" s="259"/>
      <c r="I38" s="259"/>
      <c r="J38" s="259"/>
    </row>
    <row r="39" spans="1:10" ht="16.2" thickBot="1" x14ac:dyDescent="0.35">
      <c r="A39" s="383" t="s">
        <v>330</v>
      </c>
      <c r="B39" s="384"/>
      <c r="C39" s="385">
        <f>'7 Calculation Check'!E25</f>
        <v>0</v>
      </c>
      <c r="D39" s="386"/>
      <c r="F39" s="259"/>
      <c r="G39" s="259"/>
      <c r="H39" s="259"/>
      <c r="I39" s="259"/>
      <c r="J39" s="259"/>
    </row>
    <row r="40" spans="1:10" ht="16.2" thickBot="1" x14ac:dyDescent="0.35">
      <c r="B40" s="387"/>
    </row>
    <row r="41" spans="1:10" ht="16.2" thickBot="1" x14ac:dyDescent="0.35">
      <c r="A41" s="1091" t="s">
        <v>53</v>
      </c>
      <c r="B41" s="1092"/>
      <c r="C41" s="1092"/>
      <c r="D41" s="1193"/>
      <c r="E41" s="244"/>
      <c r="F41" s="244"/>
      <c r="G41" s="244"/>
      <c r="H41" s="244"/>
    </row>
    <row r="42" spans="1:10" x14ac:dyDescent="0.3">
      <c r="A42" s="1109" t="s">
        <v>54</v>
      </c>
      <c r="B42" s="1141" t="s">
        <v>55</v>
      </c>
      <c r="C42" s="1141" t="s">
        <v>160</v>
      </c>
      <c r="D42" s="1148" t="s">
        <v>49</v>
      </c>
      <c r="E42" s="245"/>
      <c r="F42" s="245"/>
    </row>
    <row r="43" spans="1:10" ht="16.2" thickBot="1" x14ac:dyDescent="0.35">
      <c r="A43" s="1144"/>
      <c r="B43" s="1199"/>
      <c r="C43" s="1199"/>
      <c r="D43" s="1178"/>
      <c r="E43" s="281"/>
      <c r="F43" s="281"/>
    </row>
    <row r="44" spans="1:10" x14ac:dyDescent="0.3">
      <c r="A44" s="388" t="s">
        <v>33</v>
      </c>
      <c r="B44" s="389">
        <v>0</v>
      </c>
      <c r="C44" s="390" t="str">
        <f>'7 Calculation Check'!L5</f>
        <v>-</v>
      </c>
      <c r="D44" s="265" t="str">
        <f>'7 Calculation Check'!M5</f>
        <v>-</v>
      </c>
      <c r="E44" s="229"/>
      <c r="F44" s="229"/>
    </row>
    <row r="45" spans="1:10" x14ac:dyDescent="0.3">
      <c r="A45" s="391" t="s">
        <v>34</v>
      </c>
      <c r="B45" s="392" t="s">
        <v>57</v>
      </c>
      <c r="C45" s="393" t="str">
        <f>'7 Calculation Check'!L6</f>
        <v>-</v>
      </c>
      <c r="D45" s="394" t="str">
        <f>'7 Calculation Check'!M6</f>
        <v>-</v>
      </c>
      <c r="E45" s="229"/>
      <c r="F45" s="229"/>
    </row>
    <row r="46" spans="1:10" x14ac:dyDescent="0.3">
      <c r="A46" s="391" t="s">
        <v>35</v>
      </c>
      <c r="B46" s="392" t="s">
        <v>58</v>
      </c>
      <c r="C46" s="393" t="str">
        <f>'7 Calculation Check'!L7</f>
        <v>-</v>
      </c>
      <c r="D46" s="394" t="str">
        <f>'7 Calculation Check'!M7</f>
        <v>-</v>
      </c>
      <c r="E46" s="229"/>
      <c r="F46" s="229"/>
    </row>
    <row r="47" spans="1:10" x14ac:dyDescent="0.3">
      <c r="A47" s="391" t="s">
        <v>36</v>
      </c>
      <c r="B47" s="392" t="s">
        <v>59</v>
      </c>
      <c r="C47" s="393" t="str">
        <f>'7 Calculation Check'!L8</f>
        <v>-</v>
      </c>
      <c r="D47" s="394" t="str">
        <f>'7 Calculation Check'!M8</f>
        <v>-</v>
      </c>
      <c r="E47" s="229"/>
      <c r="F47" s="229"/>
    </row>
    <row r="48" spans="1:10" x14ac:dyDescent="0.3">
      <c r="A48" s="391" t="s">
        <v>37</v>
      </c>
      <c r="B48" s="392" t="s">
        <v>60</v>
      </c>
      <c r="C48" s="393" t="str">
        <f>'7 Calculation Check'!L9</f>
        <v>-</v>
      </c>
      <c r="D48" s="394" t="str">
        <f>'7 Calculation Check'!M9</f>
        <v>-</v>
      </c>
      <c r="E48" s="229"/>
      <c r="F48" s="229"/>
    </row>
    <row r="49" spans="1:18" x14ac:dyDescent="0.3">
      <c r="A49" s="391" t="s">
        <v>38</v>
      </c>
      <c r="B49" s="392" t="s">
        <v>60</v>
      </c>
      <c r="C49" s="393" t="str">
        <f>'7 Calculation Check'!L10</f>
        <v>-</v>
      </c>
      <c r="D49" s="394" t="str">
        <f>'7 Calculation Check'!M10</f>
        <v>-</v>
      </c>
      <c r="E49" s="229"/>
      <c r="F49" s="229"/>
    </row>
    <row r="50" spans="1:18" x14ac:dyDescent="0.3">
      <c r="A50" s="391" t="s">
        <v>39</v>
      </c>
      <c r="B50" s="392" t="s">
        <v>60</v>
      </c>
      <c r="C50" s="393" t="str">
        <f>'7 Calculation Check'!L11</f>
        <v>-</v>
      </c>
      <c r="D50" s="394" t="str">
        <f>'7 Calculation Check'!M11</f>
        <v>-</v>
      </c>
      <c r="E50" s="229"/>
      <c r="O50" s="193"/>
      <c r="P50" s="193"/>
      <c r="Q50" s="193"/>
      <c r="R50" s="193"/>
    </row>
    <row r="51" spans="1:18" ht="16.2" thickBot="1" x14ac:dyDescent="0.35">
      <c r="A51" s="391" t="s">
        <v>40</v>
      </c>
      <c r="B51" s="392" t="s">
        <v>61</v>
      </c>
      <c r="C51" s="393" t="str">
        <f>'7 Calculation Check'!L12</f>
        <v>-</v>
      </c>
      <c r="D51" s="394" t="str">
        <f>'7 Calculation Check'!M12</f>
        <v>-</v>
      </c>
      <c r="E51" s="229"/>
      <c r="O51" s="241"/>
      <c r="P51" s="241"/>
      <c r="Q51" s="241"/>
    </row>
    <row r="52" spans="1:18" ht="16.2" thickBot="1" x14ac:dyDescent="0.35">
      <c r="A52" s="391" t="s">
        <v>41</v>
      </c>
      <c r="B52" s="392" t="s">
        <v>61</v>
      </c>
      <c r="C52" s="393" t="str">
        <f>'7 Calculation Check'!L13</f>
        <v>-</v>
      </c>
      <c r="D52" s="394" t="str">
        <f>'7 Calculation Check'!M13</f>
        <v>-</v>
      </c>
      <c r="E52" s="1074" t="s">
        <v>211</v>
      </c>
      <c r="F52" s="1074"/>
      <c r="G52" s="1074"/>
      <c r="H52" s="1074"/>
      <c r="I52" s="1074"/>
      <c r="J52" s="1074"/>
      <c r="K52" s="1074"/>
      <c r="L52" s="1074"/>
      <c r="M52" s="1052"/>
      <c r="O52" s="212"/>
      <c r="P52" s="212"/>
      <c r="Q52" s="212"/>
    </row>
    <row r="53" spans="1:18" ht="16.2" thickBot="1" x14ac:dyDescent="0.35">
      <c r="A53" s="391" t="s">
        <v>42</v>
      </c>
      <c r="B53" s="392" t="s">
        <v>60</v>
      </c>
      <c r="C53" s="393" t="str">
        <f>'7 Calculation Check'!L14</f>
        <v>-</v>
      </c>
      <c r="D53" s="394" t="str">
        <f>'7 Calculation Check'!M14</f>
        <v>-</v>
      </c>
      <c r="E53" s="1171" t="s">
        <v>204</v>
      </c>
      <c r="F53" s="1172"/>
      <c r="G53" s="395" t="s">
        <v>24</v>
      </c>
      <c r="H53" s="1174" t="s">
        <v>46</v>
      </c>
      <c r="I53" s="1174"/>
      <c r="J53" s="1175" t="s">
        <v>47</v>
      </c>
      <c r="K53" s="1176"/>
      <c r="L53" s="396" t="s">
        <v>48</v>
      </c>
      <c r="M53" s="178" t="s">
        <v>49</v>
      </c>
      <c r="P53" s="212"/>
      <c r="Q53" s="212"/>
    </row>
    <row r="54" spans="1:18" ht="16.2" customHeight="1" thickBot="1" x14ac:dyDescent="0.35">
      <c r="A54" s="391" t="s">
        <v>43</v>
      </c>
      <c r="B54" s="392" t="s">
        <v>60</v>
      </c>
      <c r="C54" s="393" t="str">
        <f>'7 Calculation Check'!L15</f>
        <v>-</v>
      </c>
      <c r="D54" s="394" t="str">
        <f>'7 Calculation Check'!M15</f>
        <v>-</v>
      </c>
      <c r="E54" s="1165" t="s">
        <v>205</v>
      </c>
      <c r="F54" s="1166"/>
      <c r="G54" s="1163" t="s">
        <v>29</v>
      </c>
      <c r="H54" s="1177" t="s">
        <v>50</v>
      </c>
      <c r="I54" s="1163"/>
      <c r="J54" s="1177" t="s">
        <v>200</v>
      </c>
      <c r="K54" s="1163"/>
      <c r="L54" s="1197">
        <f>'7 Calculation Check'!$K$58</f>
        <v>0</v>
      </c>
      <c r="M54" s="1126" t="str">
        <f>'7 Calculation Check'!$L$58</f>
        <v>Fail</v>
      </c>
    </row>
    <row r="55" spans="1:18" ht="16.2" customHeight="1" thickBot="1" x14ac:dyDescent="0.35">
      <c r="A55" s="391" t="s">
        <v>44</v>
      </c>
      <c r="B55" s="392" t="s">
        <v>62</v>
      </c>
      <c r="C55" s="393" t="str">
        <f>'7 Calculation Check'!L16</f>
        <v>-</v>
      </c>
      <c r="D55" s="394" t="str">
        <f>'7 Calculation Check'!M16</f>
        <v>-</v>
      </c>
      <c r="E55" s="1167"/>
      <c r="F55" s="1168"/>
      <c r="G55" s="1164"/>
      <c r="H55" s="1173"/>
      <c r="I55" s="1164"/>
      <c r="J55" s="1175" t="s">
        <v>234</v>
      </c>
      <c r="K55" s="1176"/>
      <c r="L55" s="1198"/>
      <c r="M55" s="1196"/>
    </row>
    <row r="56" spans="1:18" ht="16.2" customHeight="1" thickBot="1" x14ac:dyDescent="0.35">
      <c r="A56" s="397" t="s">
        <v>45</v>
      </c>
      <c r="B56" s="398" t="s">
        <v>173</v>
      </c>
      <c r="C56" s="399" t="str">
        <f>'7 Calculation Check'!L17</f>
        <v>-</v>
      </c>
      <c r="D56" s="400" t="str">
        <f>'7 Calculation Check'!M17</f>
        <v>-</v>
      </c>
      <c r="E56" s="1169"/>
      <c r="F56" s="1170"/>
      <c r="G56" s="396" t="s">
        <v>28</v>
      </c>
      <c r="H56" s="1173" t="s">
        <v>51</v>
      </c>
      <c r="I56" s="1164"/>
      <c r="J56" s="1173" t="s">
        <v>52</v>
      </c>
      <c r="K56" s="1164"/>
      <c r="L56" s="401">
        <f>'7 Calculation Check'!$J$56</f>
        <v>0</v>
      </c>
      <c r="M56" s="400" t="str">
        <f>'7 Calculation Check'!$K$56</f>
        <v>Fail</v>
      </c>
    </row>
    <row r="57" spans="1:18" ht="16.2" thickBot="1" x14ac:dyDescent="0.35">
      <c r="A57" s="1051" t="s">
        <v>232</v>
      </c>
      <c r="B57" s="1185"/>
      <c r="C57" s="402" t="e">
        <f>'6 Agg Analysis'!AK20</f>
        <v>#DIV/0!</v>
      </c>
      <c r="J57" s="1200" t="s">
        <v>272</v>
      </c>
      <c r="K57" s="1201"/>
      <c r="L57" s="403" t="s">
        <v>212</v>
      </c>
      <c r="M57" s="1183" t="e">
        <f>IF(Data_Charts!M44=0,"ERROR",'7 Calculation Check'!$K$55)</f>
        <v>#VALUE!</v>
      </c>
    </row>
    <row r="58" spans="1:18" ht="16.2" thickBot="1" x14ac:dyDescent="0.35">
      <c r="J58" s="1202"/>
      <c r="K58" s="1203"/>
      <c r="L58" s="404" t="e">
        <f>'7 Calculation Check'!$J$55</f>
        <v>#VALUE!</v>
      </c>
      <c r="M58" s="1184"/>
    </row>
    <row r="108" spans="2:5" x14ac:dyDescent="0.3">
      <c r="B108" s="710"/>
      <c r="C108" s="710"/>
      <c r="D108" s="710"/>
      <c r="E108" s="710"/>
    </row>
  </sheetData>
  <sheetProtection selectLockedCells="1"/>
  <mergeCells count="69">
    <mergeCell ref="A30:B30"/>
    <mergeCell ref="A31:B31"/>
    <mergeCell ref="M57:M58"/>
    <mergeCell ref="A57:B57"/>
    <mergeCell ref="B24:C24"/>
    <mergeCell ref="B25:C25"/>
    <mergeCell ref="A26:C26"/>
    <mergeCell ref="A41:D41"/>
    <mergeCell ref="A29:B29"/>
    <mergeCell ref="A42:A43"/>
    <mergeCell ref="M54:M55"/>
    <mergeCell ref="L54:L55"/>
    <mergeCell ref="D42:D43"/>
    <mergeCell ref="B42:B43"/>
    <mergeCell ref="C42:C43"/>
    <mergeCell ref="J57:K58"/>
    <mergeCell ref="J9:K9"/>
    <mergeCell ref="J10:K10"/>
    <mergeCell ref="E52:M52"/>
    <mergeCell ref="G54:G55"/>
    <mergeCell ref="E54:F56"/>
    <mergeCell ref="E53:F53"/>
    <mergeCell ref="I12:I13"/>
    <mergeCell ref="H56:I56"/>
    <mergeCell ref="J56:K56"/>
    <mergeCell ref="H53:I53"/>
    <mergeCell ref="J53:K53"/>
    <mergeCell ref="J54:K54"/>
    <mergeCell ref="H12:H13"/>
    <mergeCell ref="H54:I55"/>
    <mergeCell ref="J55:K55"/>
    <mergeCell ref="A11:I11"/>
    <mergeCell ref="E12:E13"/>
    <mergeCell ref="A9:D9"/>
    <mergeCell ref="E9:I9"/>
    <mergeCell ref="A1:E1"/>
    <mergeCell ref="F1:I1"/>
    <mergeCell ref="A5:B5"/>
    <mergeCell ref="C5:D5"/>
    <mergeCell ref="E5:G5"/>
    <mergeCell ref="H5:I5"/>
    <mergeCell ref="A4:B4"/>
    <mergeCell ref="C4:D4"/>
    <mergeCell ref="E4:G4"/>
    <mergeCell ref="H4:I4"/>
    <mergeCell ref="A2:I2"/>
    <mergeCell ref="A3:G3"/>
    <mergeCell ref="A6:D6"/>
    <mergeCell ref="E6:I6"/>
    <mergeCell ref="A7:D7"/>
    <mergeCell ref="E7:I7"/>
    <mergeCell ref="A8:D8"/>
    <mergeCell ref="E8:I8"/>
    <mergeCell ref="A28:D28"/>
    <mergeCell ref="G12:G13"/>
    <mergeCell ref="F12:F13"/>
    <mergeCell ref="B12:C13"/>
    <mergeCell ref="A12:A13"/>
    <mergeCell ref="D12:D13"/>
    <mergeCell ref="B14:C14"/>
    <mergeCell ref="B15:C15"/>
    <mergeCell ref="B16:C16"/>
    <mergeCell ref="B17:C17"/>
    <mergeCell ref="B18:C18"/>
    <mergeCell ref="B19:C19"/>
    <mergeCell ref="B23:C23"/>
    <mergeCell ref="B20:C20"/>
    <mergeCell ref="B21:C21"/>
    <mergeCell ref="B22:C22"/>
  </mergeCells>
  <conditionalFormatting sqref="C29">
    <cfRule type="cellIs" dxfId="83" priority="44" operator="equal">
      <formula>"CM ERROR"</formula>
    </cfRule>
    <cfRule type="cellIs" dxfId="82" priority="59" operator="greaterThanOrEqual">
      <formula>500</formula>
    </cfRule>
    <cfRule type="cellIs" dxfId="81" priority="58" operator="lessThan">
      <formula>500</formula>
    </cfRule>
  </conditionalFormatting>
  <conditionalFormatting sqref="C32:C34">
    <cfRule type="cellIs" dxfId="80" priority="12" operator="equal">
      <formula>"AGG. ERROR"</formula>
    </cfRule>
  </conditionalFormatting>
  <conditionalFormatting sqref="C32:C36">
    <cfRule type="cellIs" dxfId="79" priority="18" operator="equal">
      <formula>"CM ERROR"</formula>
    </cfRule>
  </conditionalFormatting>
  <conditionalFormatting sqref="C35">
    <cfRule type="cellIs" dxfId="78" priority="6" operator="equal">
      <formula>"SCM ERROR"</formula>
    </cfRule>
    <cfRule type="cellIs" dxfId="77" priority="16" operator="equal">
      <formula>"AIR ?"</formula>
    </cfRule>
  </conditionalFormatting>
  <conditionalFormatting sqref="C36:C38">
    <cfRule type="cellIs" dxfId="76" priority="14" operator="equal">
      <formula>"VOID CONT.?"</formula>
    </cfRule>
  </conditionalFormatting>
  <conditionalFormatting sqref="C38">
    <cfRule type="cellIs" dxfId="75" priority="13" operator="lessThan">
      <formula>1.25</formula>
    </cfRule>
    <cfRule type="cellIs" dxfId="74" priority="17" operator="equal">
      <formula>"CM ERROR"</formula>
    </cfRule>
  </conditionalFormatting>
  <conditionalFormatting sqref="C39">
    <cfRule type="cellIs" dxfId="73" priority="21" operator="equal">
      <formula>"W/CM ERROR"</formula>
    </cfRule>
  </conditionalFormatting>
  <conditionalFormatting sqref="C44:C56">
    <cfRule type="cellIs" dxfId="71" priority="35" operator="equal">
      <formula>"CM ERROR"</formula>
    </cfRule>
  </conditionalFormatting>
  <conditionalFormatting sqref="C44:D56">
    <cfRule type="cellIs" dxfId="70" priority="32" operator="equal">
      <formula>"ERROR: vp/vv"</formula>
    </cfRule>
  </conditionalFormatting>
  <conditionalFormatting sqref="D19:D23">
    <cfRule type="cellIs" dxfId="69" priority="41" operator="equal">
      <formula>"CM ERROR"</formula>
    </cfRule>
    <cfRule type="cellIs" priority="40" operator="notEqual">
      <formula>"ERROR"</formula>
    </cfRule>
  </conditionalFormatting>
  <conditionalFormatting sqref="D44:D56">
    <cfRule type="cellIs" dxfId="68" priority="36" operator="equal">
      <formula>"CM ERROR"</formula>
    </cfRule>
    <cfRule type="containsText" dxfId="67" priority="56" stopIfTrue="1" operator="containsText" text="Fail">
      <formula>NOT(ISERROR(SEARCH("Fail",D44)))</formula>
    </cfRule>
    <cfRule type="containsText" dxfId="66" priority="57" operator="containsText" text="Pass">
      <formula>NOT(ISERROR(SEARCH("Pass",D44)))</formula>
    </cfRule>
    <cfRule type="cellIs" dxfId="65" priority="9" operator="equal">
      <formula>"AIR ?"</formula>
    </cfRule>
    <cfRule type="cellIs" dxfId="64" priority="10" operator="equal">
      <formula>"W/CM ERROR"</formula>
    </cfRule>
    <cfRule type="cellIs" dxfId="63" priority="11" operator="equal">
      <formula>"AGG. ERROR"</formula>
    </cfRule>
  </conditionalFormatting>
  <conditionalFormatting sqref="E54:F56">
    <cfRule type="cellIs" dxfId="62" priority="50" operator="equal">
      <formula>0</formula>
    </cfRule>
    <cfRule type="cellIs" dxfId="61" priority="49" operator="notEqual">
      <formula>0</formula>
    </cfRule>
  </conditionalFormatting>
  <conditionalFormatting sqref="F14:F18">
    <cfRule type="cellIs" dxfId="60" priority="2" operator="equal">
      <formula>"ENTER WTS."</formula>
    </cfRule>
    <cfRule type="cellIs" dxfId="59" priority="19" operator="equal">
      <formula>"SG?"</formula>
    </cfRule>
    <cfRule type="cellIs" dxfId="58" priority="1" operator="equal">
      <formula>"GRAD. ?"</formula>
    </cfRule>
  </conditionalFormatting>
  <conditionalFormatting sqref="F19:F23">
    <cfRule type="cellIs" dxfId="57" priority="20" operator="equal">
      <formula>"CM ERROR"</formula>
    </cfRule>
  </conditionalFormatting>
  <conditionalFormatting sqref="F20:F23">
    <cfRule type="cellIs" dxfId="56" priority="4" operator="equal">
      <formula>"SG?"</formula>
    </cfRule>
  </conditionalFormatting>
  <conditionalFormatting sqref="F19:G23">
    <cfRule type="cellIs" dxfId="55" priority="23" operator="equal">
      <formula>"ERROR: &gt;30%"</formula>
    </cfRule>
  </conditionalFormatting>
  <conditionalFormatting sqref="G19:G23">
    <cfRule type="cellIs" dxfId="54" priority="34" operator="equal">
      <formula>"CM ERROR"</formula>
    </cfRule>
  </conditionalFormatting>
  <conditionalFormatting sqref="G24">
    <cfRule type="cellIs" dxfId="53" priority="22" operator="equal">
      <formula>"CM ERROR"</formula>
    </cfRule>
  </conditionalFormatting>
  <conditionalFormatting sqref="G25">
    <cfRule type="cellIs" dxfId="52" priority="15" operator="equal">
      <formula>"AIR ?"</formula>
    </cfRule>
  </conditionalFormatting>
  <conditionalFormatting sqref="G26">
    <cfRule type="cellIs" dxfId="51" priority="3" operator="equal">
      <formula>"ENTER WTS."</formula>
    </cfRule>
    <cfRule type="cellIs" dxfId="50" priority="42" operator="between">
      <formula>27.15</formula>
      <formula>27.25</formula>
    </cfRule>
    <cfRule type="cellIs" dxfId="49" priority="43" operator="notBetween">
      <formula>27.15</formula>
      <formula>27.25</formula>
    </cfRule>
    <cfRule type="cellIs" dxfId="48" priority="33" operator="equal">
      <formula>"CM ERROR"</formula>
    </cfRule>
  </conditionalFormatting>
  <conditionalFormatting sqref="L58">
    <cfRule type="cellIs" dxfId="47" priority="24" operator="equal">
      <formula>"ERROR"</formula>
    </cfRule>
  </conditionalFormatting>
  <conditionalFormatting sqref="L54:M56">
    <cfRule type="cellIs" dxfId="46" priority="45" operator="equal">
      <formula>"ERROR"</formula>
    </cfRule>
  </conditionalFormatting>
  <conditionalFormatting sqref="M54">
    <cfRule type="containsText" dxfId="45" priority="52" stopIfTrue="1" operator="containsText" text="Fail">
      <formula>NOT(ISERROR(SEARCH("Fail",M54)))</formula>
    </cfRule>
    <cfRule type="containsText" dxfId="44" priority="53" operator="containsText" text="Pass">
      <formula>NOT(ISERROR(SEARCH("Pass",M54)))</formula>
    </cfRule>
  </conditionalFormatting>
  <conditionalFormatting sqref="M56">
    <cfRule type="containsText" dxfId="43" priority="54" stopIfTrue="1" operator="containsText" text="Fail">
      <formula>NOT(ISERROR(SEARCH("Fail",M56)))</formula>
    </cfRule>
    <cfRule type="containsText" dxfId="42" priority="55" operator="containsText" text="Pass">
      <formula>NOT(ISERROR(SEARCH("Pass",M56)))</formula>
    </cfRule>
  </conditionalFormatting>
  <conditionalFormatting sqref="M57">
    <cfRule type="cellIs" dxfId="41" priority="26" operator="equal">
      <formula>"Pass"</formula>
    </cfRule>
    <cfRule type="cellIs" dxfId="40" priority="25" operator="notEqual">
      <formula>"Pass"</formula>
    </cfRule>
  </conditionalFormatting>
  <printOptions verticalCentered="1"/>
  <pageMargins left="0.25" right="0.25" top="0.75" bottom="0.75" header="0.3" footer="0.3"/>
  <pageSetup scale="54" fitToWidth="0" fitToHeight="0" orientation="landscape" r:id="rId1"/>
  <headerFooter>
    <oddFooter>&amp;L&amp;9&amp;A&amp;C&amp;9&amp;P of &amp;N&amp;R&amp;9&amp;F</oddFooter>
  </headerFooter>
  <drawing r:id="rId2"/>
  <legacyDrawing r:id="rId3"/>
  <extLst>
    <ext xmlns:x14="http://schemas.microsoft.com/office/spreadsheetml/2009/9/main" uri="{78C0D931-6437-407d-A8EE-F0AAD7539E65}">
      <x14:conditionalFormattings>
        <x14:conditionalFormatting xmlns:xm="http://schemas.microsoft.com/office/excel/2006/main">
          <x14:cfRule type="cellIs" priority="61" operator="greaterThan" id="{33C511FD-CFD5-4102-98B5-CC9ECB5405EE}">
            <xm:f>'3 Paste Quality'!$C$28</xm:f>
            <x14:dxf>
              <fill>
                <patternFill>
                  <bgColor rgb="FFFF730E"/>
                </patternFill>
              </fill>
            </x14:dxf>
          </x14:cfRule>
          <xm:sqref>C39</xm:sqref>
        </x14:conditionalFormatting>
      </x14:conditionalFormattings>
    </ext>
    <ext xmlns:x14="http://schemas.microsoft.com/office/spreadsheetml/2009/9/main" uri="{CCE6A557-97BC-4b89-ADB6-D9C93CAAB3DF}">
      <x14:dataValidations xmlns:xm="http://schemas.microsoft.com/office/excel/2006/main" count="1">
        <x14:dataValidation type="list" errorStyle="warning" showInputMessage="1" showErrorMessage="1" errorTitle="WARNING" error="Please use drop down menu to fill in the cell." xr:uid="{D6AA780E-CB1E-4FD4-BA1D-5CB847BE626F}">
          <x14:formula1>
            <xm:f>'6 Agg Analysis'!$AG$42:$AG$46</xm:f>
          </x14:formula1>
          <xm:sqref>E54:F56</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D6E029-F5FC-41A2-95DD-07DA8C5498E2}">
  <dimension ref="A1:N113"/>
  <sheetViews>
    <sheetView showGridLines="0" topLeftCell="A18" zoomScale="85" zoomScaleNormal="85" zoomScaleSheetLayoutView="90" workbookViewId="0">
      <selection activeCell="L15" sqref="L15:N15"/>
    </sheetView>
  </sheetViews>
  <sheetFormatPr defaultColWidth="6.5546875" defaultRowHeight="15.6" x14ac:dyDescent="0.3"/>
  <cols>
    <col min="1" max="1" width="9.6640625" style="456" customWidth="1"/>
    <col min="2" max="2" width="11" style="456" customWidth="1"/>
    <col min="3" max="3" width="16.6640625" style="456" customWidth="1"/>
    <col min="4" max="4" width="8.33203125" style="456" customWidth="1"/>
    <col min="5" max="5" width="5.5546875" style="456" customWidth="1"/>
    <col min="6" max="6" width="8.33203125" style="456" customWidth="1"/>
    <col min="7" max="7" width="4.44140625" style="456" customWidth="1"/>
    <col min="8" max="8" width="8.33203125" style="456" customWidth="1"/>
    <col min="9" max="9" width="11.109375" style="456" customWidth="1"/>
    <col min="10" max="11" width="3.33203125" style="456" customWidth="1"/>
    <col min="12" max="12" width="10.44140625" style="456" customWidth="1"/>
    <col min="13" max="13" width="3.33203125" style="456" customWidth="1"/>
    <col min="14" max="14" width="11.6640625" style="456" customWidth="1"/>
    <col min="15" max="16384" width="6.5546875" style="456"/>
  </cols>
  <sheetData>
    <row r="1" spans="1:14" x14ac:dyDescent="0.3">
      <c r="A1" s="1282" t="s">
        <v>379</v>
      </c>
      <c r="B1" s="1283"/>
      <c r="C1" s="1283"/>
      <c r="D1" s="1283"/>
      <c r="E1" s="1283"/>
      <c r="F1" s="1283"/>
      <c r="G1" s="1283"/>
      <c r="H1" s="1283"/>
      <c r="I1" s="1283"/>
      <c r="J1" s="1280" t="s">
        <v>365</v>
      </c>
      <c r="K1" s="1280"/>
      <c r="L1" s="1280"/>
      <c r="M1" s="1280"/>
      <c r="N1" s="1281"/>
    </row>
    <row r="2" spans="1:14" x14ac:dyDescent="0.3">
      <c r="A2" s="1284" t="str">
        <f>Directions!A2</f>
        <v>DT2221     08/2022</v>
      </c>
      <c r="B2" s="1285"/>
      <c r="C2" s="1285"/>
      <c r="D2" s="1285"/>
      <c r="E2" s="1285"/>
      <c r="F2" s="1285"/>
      <c r="G2" s="1285"/>
      <c r="H2" s="1285"/>
      <c r="I2" s="1285"/>
      <c r="J2" s="1285"/>
      <c r="K2" s="1285"/>
      <c r="L2" s="1285"/>
      <c r="M2" s="1285"/>
      <c r="N2" s="1286"/>
    </row>
    <row r="3" spans="1:14" x14ac:dyDescent="0.3">
      <c r="A3" s="1204" t="s">
        <v>345</v>
      </c>
      <c r="B3" s="1205"/>
      <c r="C3" s="1205"/>
      <c r="D3" s="1205"/>
      <c r="E3" s="1205"/>
      <c r="F3" s="1205"/>
      <c r="G3" s="1205"/>
      <c r="H3" s="1206"/>
      <c r="I3" s="1210" t="s">
        <v>374</v>
      </c>
      <c r="J3" s="1211"/>
      <c r="K3" s="524"/>
      <c r="L3" s="1212">
        <f>IF(ISBLANK('2 Aggregate System'!I3),"",'2 Aggregate System'!I3)</f>
        <v>0</v>
      </c>
      <c r="M3" s="1212"/>
      <c r="N3" s="1213"/>
    </row>
    <row r="4" spans="1:14" s="405" customFormat="1" x14ac:dyDescent="0.3">
      <c r="A4" s="1207" t="s">
        <v>14</v>
      </c>
      <c r="B4" s="1208"/>
      <c r="C4" s="1208"/>
      <c r="D4" s="1208"/>
      <c r="E4" s="1208"/>
      <c r="F4" s="1208"/>
      <c r="G4" s="1208"/>
      <c r="H4" s="1208"/>
      <c r="I4" s="1208"/>
      <c r="J4" s="1208"/>
      <c r="K4" s="1208"/>
      <c r="L4" s="1208"/>
      <c r="M4" s="1208"/>
      <c r="N4" s="1209"/>
    </row>
    <row r="5" spans="1:14" s="405" customFormat="1" x14ac:dyDescent="0.3">
      <c r="A5" s="890" t="s">
        <v>15</v>
      </c>
      <c r="B5" s="887"/>
      <c r="C5" s="887"/>
      <c r="D5" s="887"/>
      <c r="E5" s="886" t="s">
        <v>16</v>
      </c>
      <c r="F5" s="887"/>
      <c r="G5" s="974"/>
      <c r="H5" s="886" t="s">
        <v>17</v>
      </c>
      <c r="I5" s="887"/>
      <c r="J5" s="887"/>
      <c r="K5" s="974"/>
      <c r="L5" s="886" t="s">
        <v>18</v>
      </c>
      <c r="M5" s="887"/>
      <c r="N5" s="975"/>
    </row>
    <row r="6" spans="1:14" s="405" customFormat="1" x14ac:dyDescent="0.3">
      <c r="A6" s="953">
        <f>IF(ISBLANK('2 Aggregate System'!A5),"",'2 Aggregate System'!A5)</f>
        <v>0</v>
      </c>
      <c r="B6" s="1214"/>
      <c r="C6" s="1214"/>
      <c r="D6" s="1214"/>
      <c r="E6" s="940">
        <f>IF(ISBLANK('2 Aggregate System'!C5),"",'2 Aggregate System'!C5)</f>
        <v>0</v>
      </c>
      <c r="F6" s="1214"/>
      <c r="G6" s="941"/>
      <c r="H6" s="940">
        <f>IF(ISBLANK('2 Aggregate System'!E5),"",'2 Aggregate System'!E5)</f>
        <v>0</v>
      </c>
      <c r="I6" s="1214"/>
      <c r="J6" s="1214"/>
      <c r="K6" s="941"/>
      <c r="L6" s="940">
        <f>IF(ISBLANK('2 Aggregate System'!H5),"",'2 Aggregate System'!H5)</f>
        <v>0</v>
      </c>
      <c r="M6" s="1214"/>
      <c r="N6" s="942"/>
    </row>
    <row r="7" spans="1:14" s="405" customFormat="1" x14ac:dyDescent="0.3">
      <c r="A7" s="1215" t="s">
        <v>19</v>
      </c>
      <c r="B7" s="1216"/>
      <c r="C7" s="1216"/>
      <c r="D7" s="1216"/>
      <c r="E7" s="943" t="s">
        <v>20</v>
      </c>
      <c r="F7" s="944"/>
      <c r="G7" s="944"/>
      <c r="H7" s="944"/>
      <c r="I7" s="944"/>
      <c r="J7" s="944"/>
      <c r="K7" s="944"/>
      <c r="L7" s="944"/>
      <c r="M7" s="944"/>
      <c r="N7" s="1217"/>
    </row>
    <row r="8" spans="1:14" s="405" customFormat="1" x14ac:dyDescent="0.3">
      <c r="A8" s="953" t="str">
        <f>IF(ISBLANK('2 Aggregate System'!A7),"",'2 Aggregate System'!A7)</f>
        <v/>
      </c>
      <c r="B8" s="1214"/>
      <c r="C8" s="1214"/>
      <c r="D8" s="941"/>
      <c r="E8" s="940">
        <f>IF(ISBLANK('2 Aggregate System'!E7),"",'2 Aggregate System'!E7)</f>
        <v>0</v>
      </c>
      <c r="F8" s="1214"/>
      <c r="G8" s="1214"/>
      <c r="H8" s="1214"/>
      <c r="I8" s="1214"/>
      <c r="J8" s="1214"/>
      <c r="K8" s="1214"/>
      <c r="L8" s="1214"/>
      <c r="M8" s="1214"/>
      <c r="N8" s="942"/>
    </row>
    <row r="9" spans="1:14" s="405" customFormat="1" x14ac:dyDescent="0.3">
      <c r="A9" s="930" t="s">
        <v>21</v>
      </c>
      <c r="B9" s="924"/>
      <c r="C9" s="924"/>
      <c r="D9" s="924"/>
      <c r="E9" s="886" t="s">
        <v>22</v>
      </c>
      <c r="F9" s="887"/>
      <c r="G9" s="887"/>
      <c r="H9" s="887"/>
      <c r="I9" s="887"/>
      <c r="J9" s="887"/>
      <c r="K9" s="887"/>
      <c r="L9" s="887"/>
      <c r="M9" s="887"/>
      <c r="N9" s="975"/>
    </row>
    <row r="10" spans="1:14" s="405" customFormat="1" ht="16.2" thickBot="1" x14ac:dyDescent="0.35">
      <c r="A10" s="955">
        <f>IF(ISBLANK('2 Aggregate System'!A9),"",'2 Aggregate System'!A9)</f>
        <v>0</v>
      </c>
      <c r="B10" s="926"/>
      <c r="C10" s="926"/>
      <c r="D10" s="926"/>
      <c r="E10" s="1218">
        <f>IF(ISBLANK('2 Aggregate System'!E9),"",'2 Aggregate System'!E9)</f>
        <v>0</v>
      </c>
      <c r="F10" s="1219"/>
      <c r="G10" s="1219"/>
      <c r="H10" s="1219"/>
      <c r="I10" s="1219"/>
      <c r="J10" s="1219"/>
      <c r="K10" s="1219"/>
      <c r="L10" s="1219"/>
      <c r="M10" s="1219"/>
      <c r="N10" s="1220"/>
    </row>
    <row r="11" spans="1:14" s="405" customFormat="1" ht="16.2" thickBot="1" x14ac:dyDescent="0.35">
      <c r="A11" s="736"/>
      <c r="B11" s="737"/>
      <c r="C11" s="737"/>
      <c r="D11" s="737"/>
      <c r="E11" s="737"/>
      <c r="F11" s="737"/>
      <c r="G11" s="737"/>
      <c r="H11" s="737"/>
      <c r="I11" s="737"/>
      <c r="J11" s="737"/>
      <c r="K11" s="737"/>
      <c r="L11" s="737"/>
      <c r="M11" s="737"/>
      <c r="N11" s="738"/>
    </row>
    <row r="12" spans="1:14" x14ac:dyDescent="0.3">
      <c r="A12" s="1222" t="s">
        <v>109</v>
      </c>
      <c r="B12" s="1223"/>
      <c r="C12" s="1223"/>
      <c r="D12" s="1224" t="str">
        <f>'1 Certification'!E22</f>
        <v>0 - OAG</v>
      </c>
      <c r="E12" s="1225"/>
      <c r="F12" s="1225"/>
      <c r="G12" s="1226"/>
      <c r="L12" s="1227"/>
      <c r="M12" s="1227"/>
      <c r="N12" s="1228"/>
    </row>
    <row r="13" spans="1:14" ht="15.6" customHeight="1" x14ac:dyDescent="0.3">
      <c r="A13" s="1229" t="s">
        <v>110</v>
      </c>
      <c r="B13" s="1230"/>
      <c r="C13" s="1230"/>
      <c r="D13" s="1231"/>
      <c r="E13" s="1231"/>
      <c r="F13" s="1231"/>
      <c r="G13" s="1232"/>
      <c r="N13" s="482"/>
    </row>
    <row r="14" spans="1:14" x14ac:dyDescent="0.3">
      <c r="A14" s="1229" t="s">
        <v>111</v>
      </c>
      <c r="B14" s="1230"/>
      <c r="C14" s="1230"/>
      <c r="D14" s="1235" t="s">
        <v>112</v>
      </c>
      <c r="E14" s="1235"/>
      <c r="F14" s="1235"/>
      <c r="G14" s="1236"/>
      <c r="H14" s="486"/>
      <c r="L14" s="1237"/>
      <c r="M14" s="1237"/>
      <c r="N14" s="1238"/>
    </row>
    <row r="15" spans="1:14" ht="16.2" thickBot="1" x14ac:dyDescent="0.35">
      <c r="A15" s="1239" t="s">
        <v>113</v>
      </c>
      <c r="B15" s="1240"/>
      <c r="C15" s="1240"/>
      <c r="D15" s="1241" t="s">
        <v>114</v>
      </c>
      <c r="E15" s="1241"/>
      <c r="F15" s="1241"/>
      <c r="G15" s="1242"/>
      <c r="H15" s="486"/>
      <c r="J15" s="487"/>
      <c r="K15" s="487"/>
      <c r="L15" s="1233" t="str">
        <f>Directions!N8</f>
        <v>Version 2.1</v>
      </c>
      <c r="M15" s="1233"/>
      <c r="N15" s="1234"/>
    </row>
    <row r="16" spans="1:14" x14ac:dyDescent="0.3">
      <c r="A16" s="1314" t="s">
        <v>502</v>
      </c>
      <c r="B16" s="1315"/>
      <c r="C16" s="1243" t="str">
        <f>IF('7 Calculation Check'!W5=0,"-",'7 Calculation Check'!W5)</f>
        <v>-</v>
      </c>
      <c r="D16" s="1244"/>
      <c r="E16" s="1244"/>
      <c r="F16" s="1244"/>
      <c r="G16" s="1245"/>
      <c r="H16" s="486"/>
      <c r="J16" s="487"/>
      <c r="K16" s="487"/>
      <c r="L16" s="457"/>
      <c r="M16" s="457"/>
      <c r="N16" s="482"/>
    </row>
    <row r="17" spans="1:14" x14ac:dyDescent="0.3">
      <c r="A17" s="1316" t="s">
        <v>503</v>
      </c>
      <c r="B17" s="1317"/>
      <c r="C17" s="1246" t="str">
        <f>IF('7 Calculation Check'!W6=0,"-",'7 Calculation Check'!W6)</f>
        <v>-</v>
      </c>
      <c r="D17" s="1235"/>
      <c r="E17" s="1235"/>
      <c r="F17" s="1235"/>
      <c r="G17" s="1236"/>
      <c r="H17" s="486"/>
      <c r="N17" s="482"/>
    </row>
    <row r="18" spans="1:14" x14ac:dyDescent="0.3">
      <c r="A18" s="1316" t="s">
        <v>504</v>
      </c>
      <c r="B18" s="1317"/>
      <c r="C18" s="1246" t="str">
        <f>IF('7 Calculation Check'!W7=0,"-",'7 Calculation Check'!W7)</f>
        <v>-</v>
      </c>
      <c r="D18" s="1235"/>
      <c r="E18" s="1235"/>
      <c r="F18" s="1235"/>
      <c r="G18" s="1236"/>
      <c r="H18" s="486"/>
      <c r="N18" s="482"/>
    </row>
    <row r="19" spans="1:14" x14ac:dyDescent="0.3">
      <c r="A19" s="1316" t="s">
        <v>505</v>
      </c>
      <c r="B19" s="1317"/>
      <c r="C19" s="1246" t="str">
        <f>IF('7 Calculation Check'!W8=0,"-",'7 Calculation Check'!W8)</f>
        <v>-</v>
      </c>
      <c r="D19" s="1235"/>
      <c r="E19" s="1235"/>
      <c r="F19" s="1235"/>
      <c r="G19" s="1236"/>
      <c r="H19" s="486"/>
      <c r="J19" s="487"/>
      <c r="K19" s="487"/>
      <c r="L19" s="457"/>
      <c r="M19" s="457"/>
      <c r="N19" s="482"/>
    </row>
    <row r="20" spans="1:14" ht="16.2" thickBot="1" x14ac:dyDescent="0.35">
      <c r="A20" s="1318" t="s">
        <v>506</v>
      </c>
      <c r="B20" s="1319"/>
      <c r="C20" s="1311" t="str">
        <f>IF('7 Calculation Check'!W9=0,"-",'7 Calculation Check'!W9)</f>
        <v>-</v>
      </c>
      <c r="D20" s="1312"/>
      <c r="E20" s="1312"/>
      <c r="F20" s="1312"/>
      <c r="G20" s="1313"/>
      <c r="H20" s="486"/>
      <c r="J20" s="487"/>
      <c r="K20" s="487"/>
      <c r="L20" s="457"/>
      <c r="M20" s="457"/>
      <c r="N20" s="482"/>
    </row>
    <row r="21" spans="1:14" ht="42" customHeight="1" thickBot="1" x14ac:dyDescent="0.35">
      <c r="A21" s="488"/>
      <c r="G21" s="1221" t="s">
        <v>155</v>
      </c>
      <c r="H21" s="1221"/>
      <c r="I21" s="1221"/>
      <c r="J21" s="1221"/>
      <c r="K21" s="1221"/>
      <c r="L21" s="1221"/>
      <c r="M21" s="457"/>
      <c r="N21" s="482"/>
    </row>
    <row r="22" spans="1:14" ht="16.2" thickBot="1" x14ac:dyDescent="0.35">
      <c r="A22" s="488"/>
      <c r="G22" s="1247">
        <v>1</v>
      </c>
      <c r="H22" s="1248"/>
      <c r="I22" s="1248">
        <v>2</v>
      </c>
      <c r="J22" s="1248"/>
      <c r="K22" s="1248">
        <v>3</v>
      </c>
      <c r="L22" s="1249"/>
      <c r="M22" s="489"/>
      <c r="N22" s="490"/>
    </row>
    <row r="23" spans="1:14" x14ac:dyDescent="0.3">
      <c r="A23" s="458" t="s">
        <v>115</v>
      </c>
      <c r="B23" s="459"/>
      <c r="C23" s="459"/>
      <c r="D23" s="459"/>
      <c r="E23" s="459"/>
      <c r="F23" s="460"/>
      <c r="G23" s="1250"/>
      <c r="H23" s="1251"/>
      <c r="I23" s="1250"/>
      <c r="J23" s="1251"/>
      <c r="K23" s="1250"/>
      <c r="L23" s="1252"/>
      <c r="M23" s="716"/>
      <c r="N23" s="490"/>
    </row>
    <row r="24" spans="1:14" x14ac:dyDescent="0.3">
      <c r="A24" s="461" t="s">
        <v>154</v>
      </c>
      <c r="B24" s="462"/>
      <c r="C24" s="462"/>
      <c r="D24" s="462"/>
      <c r="E24" s="462"/>
      <c r="F24" s="463"/>
      <c r="G24" s="1253"/>
      <c r="H24" s="1254"/>
      <c r="I24" s="1255" t="str">
        <f>IF($G$24="","",$G$24)</f>
        <v/>
      </c>
      <c r="J24" s="1256"/>
      <c r="K24" s="1255" t="str">
        <f>IF($G$24="","",$G$24)</f>
        <v/>
      </c>
      <c r="L24" s="1256"/>
      <c r="M24" s="716"/>
      <c r="N24" s="490"/>
    </row>
    <row r="25" spans="1:14" ht="16.2" thickBot="1" x14ac:dyDescent="0.35">
      <c r="A25" s="461" t="s">
        <v>116</v>
      </c>
      <c r="B25" s="462"/>
      <c r="C25" s="462"/>
      <c r="D25" s="462"/>
      <c r="E25" s="462"/>
      <c r="F25" s="463"/>
      <c r="G25" s="1255" t="str">
        <f>IF(G24=0,"",G23-G24)</f>
        <v/>
      </c>
      <c r="H25" s="1257"/>
      <c r="I25" s="1255" t="str">
        <f>IFERROR(I23-I24,"")</f>
        <v/>
      </c>
      <c r="J25" s="1257"/>
      <c r="K25" s="1255" t="str">
        <f>IFERROR(K23-K24,"")</f>
        <v/>
      </c>
      <c r="L25" s="1257"/>
      <c r="M25" s="464"/>
      <c r="N25" s="491"/>
    </row>
    <row r="26" spans="1:14" x14ac:dyDescent="0.3">
      <c r="A26" s="461" t="s">
        <v>117</v>
      </c>
      <c r="B26" s="462"/>
      <c r="C26" s="462"/>
      <c r="D26" s="462"/>
      <c r="E26" s="462"/>
      <c r="F26" s="463"/>
      <c r="G26" s="1258"/>
      <c r="H26" s="1259"/>
      <c r="I26" s="1260" t="str">
        <f>IF($G$26=0,"",$G$26)</f>
        <v/>
      </c>
      <c r="J26" s="1257"/>
      <c r="K26" s="1260" t="str">
        <f>IF($G$26=0,"",$G$26)</f>
        <v/>
      </c>
      <c r="L26" s="1257"/>
      <c r="M26" s="1224" t="s">
        <v>118</v>
      </c>
      <c r="N26" s="1226"/>
    </row>
    <row r="27" spans="1:14" x14ac:dyDescent="0.3">
      <c r="A27" s="461" t="s">
        <v>119</v>
      </c>
      <c r="B27" s="462"/>
      <c r="C27" s="462"/>
      <c r="D27" s="466"/>
      <c r="E27" s="466"/>
      <c r="F27" s="467"/>
      <c r="G27" s="1261" t="str">
        <f>IFERROR(G25/G26,"")</f>
        <v/>
      </c>
      <c r="H27" s="1262"/>
      <c r="I27" s="1261" t="str">
        <f>IFERROR(I25/I26,"")</f>
        <v/>
      </c>
      <c r="J27" s="1262"/>
      <c r="K27" s="1261" t="str">
        <f>IFERROR(K25/K26,"")</f>
        <v/>
      </c>
      <c r="L27" s="1262"/>
      <c r="M27" s="1261" t="str">
        <f>IFERROR(AVERAGE(G27:L27),"")</f>
        <v/>
      </c>
      <c r="N27" s="1263"/>
    </row>
    <row r="28" spans="1:14" x14ac:dyDescent="0.3">
      <c r="A28" s="461" t="s">
        <v>120</v>
      </c>
      <c r="B28" s="462"/>
      <c r="C28" s="462"/>
      <c r="D28" s="462"/>
      <c r="E28" s="462"/>
      <c r="F28" s="468"/>
      <c r="G28" s="1274" t="str">
        <f>IFERROR(J42,"")</f>
        <v/>
      </c>
      <c r="H28" s="1275"/>
      <c r="I28" s="1274" t="str">
        <f>IFERROR(J42,"")</f>
        <v/>
      </c>
      <c r="J28" s="1275"/>
      <c r="K28" s="1274" t="str">
        <f>IFERROR(J42,"")</f>
        <v/>
      </c>
      <c r="L28" s="1275"/>
      <c r="M28" s="1274" t="str">
        <f>J42</f>
        <v/>
      </c>
      <c r="N28" s="1276"/>
    </row>
    <row r="29" spans="1:14" ht="16.2" thickBot="1" x14ac:dyDescent="0.35">
      <c r="A29" s="469" t="s">
        <v>121</v>
      </c>
      <c r="B29" s="470"/>
      <c r="C29" s="470"/>
      <c r="D29" s="470"/>
      <c r="E29" s="470"/>
      <c r="F29" s="471"/>
      <c r="G29" s="1277" t="str">
        <f>IFERROR(100*((G28*62.3)-G27)/(G28*62.3),"")</f>
        <v/>
      </c>
      <c r="H29" s="1278"/>
      <c r="I29" s="1277" t="str">
        <f>IFERROR(100*((I28*62.3)-I27)/(I28*62.3),"")</f>
        <v/>
      </c>
      <c r="J29" s="1278"/>
      <c r="K29" s="1277" t="str">
        <f>IFERROR(100*((K28*62.3)-K27)/(K28*62.3),"")</f>
        <v/>
      </c>
      <c r="L29" s="1278"/>
      <c r="M29" s="1277" t="str">
        <f>IFERROR(AVERAGE(G29:L29),"")</f>
        <v/>
      </c>
      <c r="N29" s="1279"/>
    </row>
    <row r="30" spans="1:14" ht="16.2" thickBot="1" x14ac:dyDescent="0.35">
      <c r="A30" s="488"/>
      <c r="N30" s="482"/>
    </row>
    <row r="31" spans="1:14" ht="18" x14ac:dyDescent="0.4">
      <c r="A31" s="1264" t="s">
        <v>122</v>
      </c>
      <c r="B31" s="1265"/>
      <c r="C31" s="1265"/>
      <c r="D31" s="472" t="s">
        <v>123</v>
      </c>
      <c r="J31" s="457" t="s">
        <v>346</v>
      </c>
      <c r="K31" s="492" t="s">
        <v>127</v>
      </c>
      <c r="L31" s="741" t="e">
        <f>'6 Agg Analysis'!AE34</f>
        <v>#DIV/0!</v>
      </c>
      <c r="M31" s="456" t="s">
        <v>32</v>
      </c>
      <c r="N31" s="482"/>
    </row>
    <row r="32" spans="1:14" ht="18.600000000000001" thickBot="1" x14ac:dyDescent="0.45">
      <c r="A32" s="1266" t="s">
        <v>124</v>
      </c>
      <c r="B32" s="1267"/>
      <c r="C32" s="1267"/>
      <c r="D32" s="473" t="s">
        <v>125</v>
      </c>
      <c r="J32" s="457" t="s">
        <v>347</v>
      </c>
      <c r="K32" s="492" t="s">
        <v>127</v>
      </c>
      <c r="L32" s="741" t="e">
        <f>'6 Agg Analysis'!AE35</f>
        <v>#DIV/0!</v>
      </c>
      <c r="M32" s="456" t="s">
        <v>32</v>
      </c>
      <c r="N32" s="482"/>
    </row>
    <row r="33" spans="1:14" ht="18.600000000000001" thickBot="1" x14ac:dyDescent="0.45">
      <c r="A33" s="488"/>
      <c r="J33" s="457" t="s">
        <v>348</v>
      </c>
      <c r="K33" s="492" t="s">
        <v>127</v>
      </c>
      <c r="L33" s="741" t="e">
        <f>'6 Agg Analysis'!AE36</f>
        <v>#DIV/0!</v>
      </c>
      <c r="M33" s="456" t="s">
        <v>32</v>
      </c>
      <c r="N33" s="482"/>
    </row>
    <row r="34" spans="1:14" ht="18" x14ac:dyDescent="0.4">
      <c r="A34" s="1268" t="s">
        <v>126</v>
      </c>
      <c r="B34" s="1269"/>
      <c r="C34" s="1269"/>
      <c r="D34" s="1225">
        <v>1</v>
      </c>
      <c r="E34" s="1225"/>
      <c r="F34" s="1225"/>
      <c r="G34" s="1225"/>
      <c r="H34" s="1226"/>
      <c r="J34" s="457" t="s">
        <v>349</v>
      </c>
      <c r="K34" s="492" t="s">
        <v>127</v>
      </c>
      <c r="L34" s="741" t="e">
        <f>'6 Agg Analysis'!AE37</f>
        <v>#DIV/0!</v>
      </c>
      <c r="M34" s="456" t="s">
        <v>32</v>
      </c>
      <c r="N34" s="482"/>
    </row>
    <row r="35" spans="1:14" ht="18" x14ac:dyDescent="0.4">
      <c r="A35" s="1270"/>
      <c r="B35" s="1271"/>
      <c r="C35" s="1271"/>
      <c r="D35" s="474" t="s">
        <v>346</v>
      </c>
      <c r="E35" s="475" t="s">
        <v>128</v>
      </c>
      <c r="F35" s="474" t="s">
        <v>349</v>
      </c>
      <c r="G35" s="476" t="s">
        <v>128</v>
      </c>
      <c r="H35" s="477" t="s">
        <v>350</v>
      </c>
      <c r="J35" s="457" t="s">
        <v>351</v>
      </c>
      <c r="K35" s="492" t="s">
        <v>127</v>
      </c>
      <c r="L35" s="741" t="e">
        <f>'6 Agg Analysis'!AE38</f>
        <v>#DIV/0!</v>
      </c>
      <c r="M35" s="456" t="s">
        <v>32</v>
      </c>
      <c r="N35" s="482"/>
    </row>
    <row r="36" spans="1:14" ht="18.600000000000001" thickBot="1" x14ac:dyDescent="0.45">
      <c r="A36" s="1272" t="s">
        <v>129</v>
      </c>
      <c r="B36" s="1273"/>
      <c r="C36" s="1273"/>
      <c r="D36" s="714" t="s">
        <v>352</v>
      </c>
      <c r="E36" s="715"/>
      <c r="F36" s="714" t="s">
        <v>353</v>
      </c>
      <c r="G36" s="465"/>
      <c r="H36" s="473" t="s">
        <v>354</v>
      </c>
      <c r="J36" s="489" t="s">
        <v>355</v>
      </c>
      <c r="K36" s="493" t="s">
        <v>127</v>
      </c>
      <c r="L36" s="478">
        <f>IF('2 Aggregate System'!G13=0,1,'2 Aggregate System'!G13)</f>
        <v>1</v>
      </c>
      <c r="N36" s="482"/>
    </row>
    <row r="37" spans="1:14" ht="18" x14ac:dyDescent="0.3">
      <c r="A37" s="479" t="s">
        <v>130</v>
      </c>
      <c r="B37" s="480"/>
      <c r="C37" s="480"/>
      <c r="D37" s="480"/>
      <c r="E37" s="480"/>
      <c r="F37" s="480"/>
      <c r="G37" s="480"/>
      <c r="H37" s="481"/>
      <c r="J37" s="489" t="s">
        <v>356</v>
      </c>
      <c r="K37" s="493" t="s">
        <v>127</v>
      </c>
      <c r="L37" s="478">
        <f>IF('2 Aggregate System'!G14=0,1,'2 Aggregate System'!G14)</f>
        <v>1</v>
      </c>
      <c r="M37" s="494"/>
      <c r="N37" s="482"/>
    </row>
    <row r="38" spans="1:14" ht="18" x14ac:dyDescent="0.4">
      <c r="A38" s="1309" t="s">
        <v>434</v>
      </c>
      <c r="B38" s="1310"/>
      <c r="C38" s="456" t="s">
        <v>131</v>
      </c>
      <c r="H38" s="482"/>
      <c r="J38" s="489" t="s">
        <v>357</v>
      </c>
      <c r="K38" s="493" t="s">
        <v>127</v>
      </c>
      <c r="L38" s="478">
        <f>IF('2 Aggregate System'!G15=0,1,'2 Aggregate System'!G15)</f>
        <v>1</v>
      </c>
      <c r="M38" s="494"/>
      <c r="N38" s="482"/>
    </row>
    <row r="39" spans="1:14" ht="18.600000000000001" thickBot="1" x14ac:dyDescent="0.45">
      <c r="A39" s="1295" t="s">
        <v>435</v>
      </c>
      <c r="B39" s="1296"/>
      <c r="C39" s="470" t="s">
        <v>132</v>
      </c>
      <c r="D39" s="470"/>
      <c r="E39" s="470"/>
      <c r="F39" s="470"/>
      <c r="G39" s="470"/>
      <c r="H39" s="483"/>
      <c r="J39" s="489" t="s">
        <v>358</v>
      </c>
      <c r="K39" s="493" t="s">
        <v>127</v>
      </c>
      <c r="L39" s="478">
        <f>IF('2 Aggregate System'!G16=0,1,'2 Aggregate System'!G16)</f>
        <v>1</v>
      </c>
      <c r="M39" s="494"/>
      <c r="N39" s="482"/>
    </row>
    <row r="40" spans="1:14" ht="18" x14ac:dyDescent="0.3">
      <c r="A40" s="488"/>
      <c r="J40" s="489" t="s">
        <v>359</v>
      </c>
      <c r="K40" s="493" t="s">
        <v>127</v>
      </c>
      <c r="L40" s="478">
        <f>IF('2 Aggregate System'!G17=0,1,'2 Aggregate System'!G17)</f>
        <v>1</v>
      </c>
      <c r="N40" s="482"/>
    </row>
    <row r="41" spans="1:14" ht="16.2" thickBot="1" x14ac:dyDescent="0.35">
      <c r="A41" s="488"/>
      <c r="J41" s="489"/>
      <c r="K41" s="493"/>
      <c r="L41" s="484"/>
      <c r="N41" s="482"/>
    </row>
    <row r="42" spans="1:14" x14ac:dyDescent="0.3">
      <c r="A42" s="1287" t="s">
        <v>133</v>
      </c>
      <c r="B42" s="1288"/>
      <c r="C42" s="1288"/>
      <c r="D42" s="1225">
        <v>1</v>
      </c>
      <c r="E42" s="1225"/>
      <c r="F42" s="1225"/>
      <c r="G42" s="1225"/>
      <c r="H42" s="1226"/>
      <c r="I42" s="1269" t="s">
        <v>127</v>
      </c>
      <c r="J42" s="1298" t="str">
        <f>IFERROR(1/((L31/(L36*100))+(L32/(L37*100))+(L33/(L38*100))+(L34/(L39*100))+(L35/(L40*100))),"")</f>
        <v/>
      </c>
      <c r="K42" s="1299"/>
      <c r="L42" s="1300"/>
      <c r="N42" s="482"/>
    </row>
    <row r="43" spans="1:14" ht="18" x14ac:dyDescent="0.4">
      <c r="A43" s="1307" t="s">
        <v>129</v>
      </c>
      <c r="B43" s="1308"/>
      <c r="C43" s="1308"/>
      <c r="D43" s="474" t="s">
        <v>346</v>
      </c>
      <c r="E43" s="475" t="s">
        <v>128</v>
      </c>
      <c r="F43" s="474" t="s">
        <v>349</v>
      </c>
      <c r="G43" s="476" t="s">
        <v>128</v>
      </c>
      <c r="H43" s="477" t="s">
        <v>350</v>
      </c>
      <c r="I43" s="1271"/>
      <c r="J43" s="1301"/>
      <c r="K43" s="1302"/>
      <c r="L43" s="1303"/>
      <c r="N43" s="482"/>
    </row>
    <row r="44" spans="1:14" ht="18.600000000000001" thickBot="1" x14ac:dyDescent="0.45">
      <c r="A44" s="469"/>
      <c r="B44" s="470"/>
      <c r="C44" s="470"/>
      <c r="D44" s="715" t="s">
        <v>352</v>
      </c>
      <c r="E44" s="715"/>
      <c r="F44" s="715" t="s">
        <v>353</v>
      </c>
      <c r="G44" s="465"/>
      <c r="H44" s="473" t="s">
        <v>354</v>
      </c>
      <c r="I44" s="1297"/>
      <c r="J44" s="1304"/>
      <c r="K44" s="1305"/>
      <c r="L44" s="1306"/>
      <c r="N44" s="482"/>
    </row>
    <row r="45" spans="1:14" ht="16.2" thickBot="1" x14ac:dyDescent="0.35">
      <c r="A45" s="488"/>
      <c r="G45" s="485"/>
      <c r="H45" s="714"/>
      <c r="I45" s="485"/>
      <c r="J45" s="714"/>
      <c r="K45" s="714"/>
      <c r="L45" s="485"/>
      <c r="M45" s="485"/>
      <c r="N45" s="482"/>
    </row>
    <row r="46" spans="1:14" x14ac:dyDescent="0.3">
      <c r="A46" s="1287" t="s">
        <v>134</v>
      </c>
      <c r="B46" s="1288"/>
      <c r="C46" s="1289" t="s">
        <v>135</v>
      </c>
      <c r="D46" s="1289"/>
      <c r="E46" s="1290" t="str">
        <f>IFERROR(ROUND(M29,0),"")</f>
        <v/>
      </c>
      <c r="F46" s="1291"/>
      <c r="N46" s="482"/>
    </row>
    <row r="47" spans="1:14" ht="16.2" thickBot="1" x14ac:dyDescent="0.35">
      <c r="A47" s="1266" t="s">
        <v>136</v>
      </c>
      <c r="B47" s="1267"/>
      <c r="C47" s="1294" t="s">
        <v>137</v>
      </c>
      <c r="D47" s="1294"/>
      <c r="E47" s="1292"/>
      <c r="F47" s="1293"/>
      <c r="G47" s="470"/>
      <c r="H47" s="470"/>
      <c r="I47" s="470"/>
      <c r="J47" s="470"/>
      <c r="K47" s="470"/>
      <c r="L47" s="470"/>
      <c r="M47" s="470"/>
      <c r="N47" s="483"/>
    </row>
    <row r="51" spans="5:14" x14ac:dyDescent="0.3">
      <c r="I51" s="457"/>
      <c r="J51" s="457"/>
      <c r="K51" s="457"/>
      <c r="L51" s="457"/>
      <c r="M51" s="457"/>
    </row>
    <row r="53" spans="5:14" x14ac:dyDescent="0.3">
      <c r="I53" s="457"/>
      <c r="J53" s="457"/>
      <c r="K53" s="457"/>
      <c r="L53" s="457"/>
      <c r="M53" s="457"/>
    </row>
    <row r="57" spans="5:14" x14ac:dyDescent="0.3">
      <c r="E57" s="485"/>
      <c r="F57" s="485"/>
      <c r="G57" s="485"/>
      <c r="H57" s="485"/>
      <c r="I57" s="485"/>
      <c r="J57" s="485"/>
      <c r="K57" s="485"/>
      <c r="L57" s="485"/>
      <c r="M57" s="485"/>
      <c r="N57" s="485"/>
    </row>
    <row r="58" spans="5:14" x14ac:dyDescent="0.3">
      <c r="G58" s="457"/>
      <c r="H58" s="457"/>
      <c r="I58" s="485"/>
      <c r="J58" s="485"/>
      <c r="K58" s="485"/>
      <c r="L58" s="485"/>
      <c r="M58" s="485"/>
    </row>
    <row r="59" spans="5:14" x14ac:dyDescent="0.3">
      <c r="I59" s="485"/>
      <c r="J59" s="485"/>
      <c r="K59" s="485"/>
      <c r="L59" s="485"/>
      <c r="M59" s="485"/>
    </row>
    <row r="61" spans="5:14" x14ac:dyDescent="0.3">
      <c r="G61" s="457"/>
      <c r="H61" s="457"/>
      <c r="I61" s="485"/>
      <c r="J61" s="485"/>
      <c r="K61" s="485"/>
    </row>
    <row r="62" spans="5:14" x14ac:dyDescent="0.3">
      <c r="I62" s="485"/>
      <c r="J62" s="485"/>
      <c r="K62" s="485"/>
    </row>
    <row r="64" spans="5:14" x14ac:dyDescent="0.3">
      <c r="G64" s="457"/>
      <c r="H64" s="457"/>
    </row>
    <row r="113" spans="2:5" x14ac:dyDescent="0.3">
      <c r="B113" s="709"/>
      <c r="C113" s="709"/>
      <c r="D113" s="709"/>
      <c r="E113" s="709"/>
    </row>
  </sheetData>
  <sheetProtection selectLockedCells="1"/>
  <mergeCells count="90">
    <mergeCell ref="C20:G20"/>
    <mergeCell ref="A16:B16"/>
    <mergeCell ref="A17:B17"/>
    <mergeCell ref="A18:B18"/>
    <mergeCell ref="A19:B19"/>
    <mergeCell ref="A20:B20"/>
    <mergeCell ref="J1:N1"/>
    <mergeCell ref="A1:I1"/>
    <mergeCell ref="A2:N2"/>
    <mergeCell ref="A46:B46"/>
    <mergeCell ref="C46:D46"/>
    <mergeCell ref="E46:F47"/>
    <mergeCell ref="A47:B47"/>
    <mergeCell ref="C47:D47"/>
    <mergeCell ref="A39:B39"/>
    <mergeCell ref="A42:C42"/>
    <mergeCell ref="D42:H42"/>
    <mergeCell ref="I42:I44"/>
    <mergeCell ref="J42:L44"/>
    <mergeCell ref="A43:C43"/>
    <mergeCell ref="A38:B38"/>
    <mergeCell ref="G28:H28"/>
    <mergeCell ref="I28:J28"/>
    <mergeCell ref="K28:L28"/>
    <mergeCell ref="M28:N28"/>
    <mergeCell ref="G29:H29"/>
    <mergeCell ref="I29:J29"/>
    <mergeCell ref="K29:L29"/>
    <mergeCell ref="M29:N29"/>
    <mergeCell ref="A31:C31"/>
    <mergeCell ref="A32:C32"/>
    <mergeCell ref="A34:C35"/>
    <mergeCell ref="D34:H34"/>
    <mergeCell ref="A36:C36"/>
    <mergeCell ref="G26:H26"/>
    <mergeCell ref="I26:J26"/>
    <mergeCell ref="K26:L26"/>
    <mergeCell ref="M26:N26"/>
    <mergeCell ref="G27:H27"/>
    <mergeCell ref="I27:J27"/>
    <mergeCell ref="K27:L27"/>
    <mergeCell ref="M27:N27"/>
    <mergeCell ref="G24:H24"/>
    <mergeCell ref="I24:J24"/>
    <mergeCell ref="K24:L24"/>
    <mergeCell ref="G25:H25"/>
    <mergeCell ref="I25:J25"/>
    <mergeCell ref="K25:L25"/>
    <mergeCell ref="G22:H22"/>
    <mergeCell ref="I22:J22"/>
    <mergeCell ref="K22:L22"/>
    <mergeCell ref="G23:H23"/>
    <mergeCell ref="I23:J23"/>
    <mergeCell ref="K23:L23"/>
    <mergeCell ref="G21:L21"/>
    <mergeCell ref="A12:C12"/>
    <mergeCell ref="D12:G12"/>
    <mergeCell ref="L12:N12"/>
    <mergeCell ref="A13:C13"/>
    <mergeCell ref="D13:G13"/>
    <mergeCell ref="L15:N15"/>
    <mergeCell ref="A14:C14"/>
    <mergeCell ref="D14:G14"/>
    <mergeCell ref="L14:N14"/>
    <mergeCell ref="A15:C15"/>
    <mergeCell ref="D15:G15"/>
    <mergeCell ref="C16:G16"/>
    <mergeCell ref="C17:G17"/>
    <mergeCell ref="C18:G18"/>
    <mergeCell ref="C19:G19"/>
    <mergeCell ref="A8:D8"/>
    <mergeCell ref="E8:N8"/>
    <mergeCell ref="A9:D9"/>
    <mergeCell ref="E9:N9"/>
    <mergeCell ref="A10:D10"/>
    <mergeCell ref="E10:N10"/>
    <mergeCell ref="A6:D6"/>
    <mergeCell ref="E6:G6"/>
    <mergeCell ref="H6:K6"/>
    <mergeCell ref="L6:N6"/>
    <mergeCell ref="A7:D7"/>
    <mergeCell ref="E7:N7"/>
    <mergeCell ref="A3:H3"/>
    <mergeCell ref="A4:N4"/>
    <mergeCell ref="A5:D5"/>
    <mergeCell ref="E5:G5"/>
    <mergeCell ref="H5:K5"/>
    <mergeCell ref="L5:N5"/>
    <mergeCell ref="I3:J3"/>
    <mergeCell ref="L3:N3"/>
  </mergeCells>
  <printOptions horizontalCentered="1"/>
  <pageMargins left="0.25" right="0.25" top="0.75" bottom="0.75" header="0.3" footer="0.3"/>
  <pageSetup scale="85" orientation="portrait" r:id="rId1"/>
  <headerFooter>
    <oddFooter>&amp;L&amp;9&amp;A&amp;C&amp;9&amp;P of &amp;N&amp;R&amp;9&amp;F</oddFooter>
  </headerFooter>
  <ignoredErrors>
    <ignoredError sqref="M28" formula="1"/>
    <ignoredError sqref="L31:L35" unlockedFormula="1"/>
  </ignoredError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88f8303-36cc-4722-843c-48f925e9524a">
      <Terms xmlns="http://schemas.microsoft.com/office/infopath/2007/PartnerControls"/>
    </lcf76f155ced4ddcb4097134ff3c332f>
    <TaxCatchAll xmlns="899d37c6-357d-48c7-9541-1039f2d5021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F783399D837B5408C8C0B986CC9D91F" ma:contentTypeVersion="19" ma:contentTypeDescription="Create a new document." ma:contentTypeScope="" ma:versionID="a2d99ace9a73d3cc8693da3094b82dca">
  <xsd:schema xmlns:xsd="http://www.w3.org/2001/XMLSchema" xmlns:xs="http://www.w3.org/2001/XMLSchema" xmlns:p="http://schemas.microsoft.com/office/2006/metadata/properties" xmlns:ns2="688f8303-36cc-4722-843c-48f925e9524a" xmlns:ns3="899d37c6-357d-48c7-9541-1039f2d50217" targetNamespace="http://schemas.microsoft.com/office/2006/metadata/properties" ma:root="true" ma:fieldsID="ba7471ddcc034202263784a3d3e507b6" ns2:_="" ns3:_="">
    <xsd:import namespace="688f8303-36cc-4722-843c-48f925e9524a"/>
    <xsd:import namespace="899d37c6-357d-48c7-9541-1039f2d5021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8f8303-36cc-4722-843c-48f925e952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1ad99dcb-e711-43b2-b35d-40f352c7fd7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99d37c6-357d-48c7-9541-1039f2d50217"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30d75ed8-b8b7-43de-8749-3cfde4c1b1b7}" ma:internalName="TaxCatchAll" ma:showField="CatchAllData" ma:web="899d37c6-357d-48c7-9541-1039f2d5021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AB789EF-A9E5-484C-B0FA-57F69FFA7402}">
  <ds:schemaRefs>
    <ds:schemaRef ds:uri="http://schemas.microsoft.com/sharepoint/v3"/>
    <ds:schemaRef ds:uri="a8b72882-1d02-4704-8464-4e9c6e9dc531"/>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F0FA9F98-3242-462B-A635-EE73AB2CAA88}">
  <ds:schemaRefs>
    <ds:schemaRef ds:uri="http://schemas.microsoft.com/sharepoint/v3/contenttype/forms"/>
  </ds:schemaRefs>
</ds:datastoreItem>
</file>

<file path=customXml/itemProps3.xml><?xml version="1.0" encoding="utf-8"?>
<ds:datastoreItem xmlns:ds="http://schemas.openxmlformats.org/officeDocument/2006/customXml" ds:itemID="{9A359194-1706-47BB-8200-A9FA916EDD3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10</vt:i4>
      </vt:variant>
    </vt:vector>
  </HeadingPairs>
  <TitlesOfParts>
    <vt:vector size="23" baseType="lpstr">
      <vt:lpstr>Directions</vt:lpstr>
      <vt:lpstr>Directions - Modification</vt:lpstr>
      <vt:lpstr>Printing Directions</vt:lpstr>
      <vt:lpstr>1 Certification</vt:lpstr>
      <vt:lpstr>1A Modification</vt:lpstr>
      <vt:lpstr>2 Aggregate System</vt:lpstr>
      <vt:lpstr>3 Paste Quality</vt:lpstr>
      <vt:lpstr>4 Mix Design</vt:lpstr>
      <vt:lpstr>5 Unit Wt_Voids in Agg</vt:lpstr>
      <vt:lpstr>Optimize Tool</vt:lpstr>
      <vt:lpstr>Data_Charts</vt:lpstr>
      <vt:lpstr>6 Agg Analysis</vt:lpstr>
      <vt:lpstr>7 Calculation Check</vt:lpstr>
      <vt:lpstr>'1 Certification'!Print_Area</vt:lpstr>
      <vt:lpstr>'1A Modification'!Print_Area</vt:lpstr>
      <vt:lpstr>'2 Aggregate System'!Print_Area</vt:lpstr>
      <vt:lpstr>'3 Paste Quality'!Print_Area</vt:lpstr>
      <vt:lpstr>'4 Mix Design'!Print_Area</vt:lpstr>
      <vt:lpstr>Data_Charts!Print_Area</vt:lpstr>
      <vt:lpstr>Directions!Print_Area</vt:lpstr>
      <vt:lpstr>'Optimize Tool'!Print_Area</vt:lpstr>
      <vt:lpstr>'Printing Directions'!Print_Area</vt:lpstr>
      <vt:lpstr>'1A Modification'!Print_Titles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Concrete Mixture Design - Optimized Aggregate Gradation</dc:title>
  <dc:creator>WisDOT</dc:creator>
  <cp:keywords>Concrete Mixture Design - Optimized Aggregate Gradation</cp:keywords>
  <cp:lastModifiedBy>Leslie Ashauer</cp:lastModifiedBy>
  <cp:lastPrinted>2026-07-29T20:51:05Z</cp:lastPrinted>
  <dcterms:created xsi:type="dcterms:W3CDTF">2019-04-29T15:27:56Z</dcterms:created>
  <dcterms:modified xsi:type="dcterms:W3CDTF">2026-07-29T21:34:00Z</dcterms:modified>
  <cp:category>Concrete Mixture Design - Optimized Aggregate Gradation</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0x0101001F783399D837B5408C8C0B986CC9D91F</vt:lpwstr>
  </property>
</Properties>
</file>